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380" windowHeight="8190" tabRatio="500"/>
  </bookViews>
  <sheets>
    <sheet name="Проектная часть" sheetId="1" r:id="rId1"/>
    <sheet name="Процессная часть" sheetId="2" r:id="rId2"/>
  </sheets>
  <definedNames>
    <definedName name="_xlnm.Print_Titles" localSheetId="1">'Процессная часть'!$5:$8</definedName>
    <definedName name="_xlnm.Print_Area" localSheetId="1">'Процессная часть'!$A$1:$M$243</definedName>
  </definedName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236" i="2"/>
  <c r="G236"/>
  <c r="F236"/>
  <c r="E236"/>
  <c r="D236"/>
  <c r="H235"/>
  <c r="G235"/>
  <c r="F235"/>
  <c r="E235"/>
  <c r="D235" s="1"/>
  <c r="H234"/>
  <c r="G234"/>
  <c r="F234"/>
  <c r="E234"/>
  <c r="D234"/>
  <c r="D233"/>
  <c r="D232"/>
  <c r="D231"/>
  <c r="D230"/>
  <c r="D229"/>
  <c r="D228"/>
  <c r="D227"/>
  <c r="D226"/>
  <c r="D225"/>
  <c r="H221"/>
  <c r="G221"/>
  <c r="F221"/>
  <c r="E221"/>
  <c r="D221"/>
  <c r="H220"/>
  <c r="G220"/>
  <c r="F220"/>
  <c r="E220"/>
  <c r="D220" s="1"/>
  <c r="H219"/>
  <c r="F219"/>
  <c r="E219"/>
  <c r="D218"/>
  <c r="D217"/>
  <c r="D216"/>
  <c r="D215"/>
  <c r="D214"/>
  <c r="D213"/>
  <c r="D212"/>
  <c r="D211"/>
  <c r="D210"/>
  <c r="D209"/>
  <c r="D208"/>
  <c r="G207"/>
  <c r="G219" s="1"/>
  <c r="D219" s="1"/>
  <c r="H203"/>
  <c r="G203"/>
  <c r="F203"/>
  <c r="E203"/>
  <c r="D203"/>
  <c r="H202"/>
  <c r="G202"/>
  <c r="E202"/>
  <c r="D202" s="1"/>
  <c r="H201"/>
  <c r="E201"/>
  <c r="F200"/>
  <c r="D200"/>
  <c r="F199"/>
  <c r="F202" s="1"/>
  <c r="D199"/>
  <c r="G198"/>
  <c r="G201" s="1"/>
  <c r="F198"/>
  <c r="F201" s="1"/>
  <c r="D201" s="1"/>
  <c r="H194"/>
  <c r="G194"/>
  <c r="F194"/>
  <c r="E194"/>
  <c r="D194"/>
  <c r="H193"/>
  <c r="G193"/>
  <c r="F193"/>
  <c r="E193"/>
  <c r="D193" s="1"/>
  <c r="H192"/>
  <c r="F192"/>
  <c r="E192"/>
  <c r="D191"/>
  <c r="D190"/>
  <c r="G189"/>
  <c r="G192" s="1"/>
  <c r="D192" s="1"/>
  <c r="D189"/>
  <c r="H185"/>
  <c r="F185"/>
  <c r="E185"/>
  <c r="H184"/>
  <c r="F184"/>
  <c r="E184"/>
  <c r="H183"/>
  <c r="E183"/>
  <c r="D182"/>
  <c r="D181"/>
  <c r="D180"/>
  <c r="D179"/>
  <c r="D178"/>
  <c r="D177"/>
  <c r="D176"/>
  <c r="D175"/>
  <c r="D174"/>
  <c r="D173"/>
  <c r="D172"/>
  <c r="G171"/>
  <c r="D171"/>
  <c r="D170"/>
  <c r="D169"/>
  <c r="D168"/>
  <c r="D167"/>
  <c r="D166"/>
  <c r="F165"/>
  <c r="F183" s="1"/>
  <c r="G164"/>
  <c r="D164" s="1"/>
  <c r="G163"/>
  <c r="D163" s="1"/>
  <c r="G162"/>
  <c r="D162" s="1"/>
  <c r="G161"/>
  <c r="G185" s="1"/>
  <c r="G160"/>
  <c r="G184" s="1"/>
  <c r="D184" s="1"/>
  <c r="G159"/>
  <c r="G183" s="1"/>
  <c r="D152"/>
  <c r="D151"/>
  <c r="G150"/>
  <c r="D150"/>
  <c r="D149"/>
  <c r="D148"/>
  <c r="G147"/>
  <c r="D147"/>
  <c r="D146"/>
  <c r="D145"/>
  <c r="D144"/>
  <c r="D143"/>
  <c r="D142"/>
  <c r="D141"/>
  <c r="H140"/>
  <c r="G140"/>
  <c r="F140"/>
  <c r="E140"/>
  <c r="D140" s="1"/>
  <c r="H139"/>
  <c r="G139"/>
  <c r="F139"/>
  <c r="E139"/>
  <c r="D139"/>
  <c r="H138"/>
  <c r="G138"/>
  <c r="F138"/>
  <c r="E138"/>
  <c r="D138" s="1"/>
  <c r="D137"/>
  <c r="D136"/>
  <c r="D135"/>
  <c r="D134"/>
  <c r="D133"/>
  <c r="D132"/>
  <c r="D131"/>
  <c r="D130"/>
  <c r="G129"/>
  <c r="D129" s="1"/>
  <c r="D128"/>
  <c r="D127"/>
  <c r="D126"/>
  <c r="F124"/>
  <c r="D124"/>
  <c r="F122"/>
  <c r="D122"/>
  <c r="F120"/>
  <c r="D120"/>
  <c r="D119"/>
  <c r="D118"/>
  <c r="F117"/>
  <c r="D117"/>
  <c r="D116"/>
  <c r="D115"/>
  <c r="G114"/>
  <c r="D114"/>
  <c r="D113"/>
  <c r="D112"/>
  <c r="F111"/>
  <c r="D111"/>
  <c r="H110"/>
  <c r="G110"/>
  <c r="F110"/>
  <c r="E110"/>
  <c r="D110" s="1"/>
  <c r="H109"/>
  <c r="G109"/>
  <c r="F109"/>
  <c r="E109"/>
  <c r="D109"/>
  <c r="H108"/>
  <c r="G108"/>
  <c r="F108"/>
  <c r="E108"/>
  <c r="D108" s="1"/>
  <c r="G107"/>
  <c r="D107" s="1"/>
  <c r="G106"/>
  <c r="D106" s="1"/>
  <c r="G105"/>
  <c r="D105" s="1"/>
  <c r="G104"/>
  <c r="D104" s="1"/>
  <c r="G103"/>
  <c r="D103" s="1"/>
  <c r="G102"/>
  <c r="D102" s="1"/>
  <c r="H101"/>
  <c r="F101"/>
  <c r="E101"/>
  <c r="H100"/>
  <c r="G100"/>
  <c r="F100"/>
  <c r="E100"/>
  <c r="D100" s="1"/>
  <c r="H99"/>
  <c r="F99"/>
  <c r="E99"/>
  <c r="D98"/>
  <c r="G97"/>
  <c r="D97" s="1"/>
  <c r="G96"/>
  <c r="D96" s="1"/>
  <c r="G95"/>
  <c r="D95" s="1"/>
  <c r="G94"/>
  <c r="F94"/>
  <c r="E94"/>
  <c r="D94" s="1"/>
  <c r="G93"/>
  <c r="F93"/>
  <c r="E93"/>
  <c r="D93" s="1"/>
  <c r="F92"/>
  <c r="D92" s="1"/>
  <c r="F91"/>
  <c r="D91" s="1"/>
  <c r="F90"/>
  <c r="D90" s="1"/>
  <c r="G89"/>
  <c r="D89" s="1"/>
  <c r="G88"/>
  <c r="D88" s="1"/>
  <c r="G87"/>
  <c r="D87" s="1"/>
  <c r="D86"/>
  <c r="D85"/>
  <c r="D84"/>
  <c r="H83"/>
  <c r="F83"/>
  <c r="E83"/>
  <c r="H82"/>
  <c r="G82"/>
  <c r="F82"/>
  <c r="E82"/>
  <c r="D82"/>
  <c r="H81"/>
  <c r="F81"/>
  <c r="E81"/>
  <c r="D80"/>
  <c r="D79"/>
  <c r="D78"/>
  <c r="D77"/>
  <c r="D76"/>
  <c r="D75"/>
  <c r="F69"/>
  <c r="D69" s="1"/>
  <c r="F63"/>
  <c r="D63"/>
  <c r="F57"/>
  <c r="D57"/>
  <c r="F56"/>
  <c r="D56"/>
  <c r="F55"/>
  <c r="D55"/>
  <c r="G54"/>
  <c r="F54"/>
  <c r="D54" s="1"/>
  <c r="H53"/>
  <c r="H155" s="1"/>
  <c r="G53"/>
  <c r="F53"/>
  <c r="F155" s="1"/>
  <c r="E53"/>
  <c r="E155" s="1"/>
  <c r="D53"/>
  <c r="H52"/>
  <c r="H154" s="1"/>
  <c r="G52"/>
  <c r="G154" s="1"/>
  <c r="F52"/>
  <c r="F154" s="1"/>
  <c r="E52"/>
  <c r="E154" s="1"/>
  <c r="D154" s="1"/>
  <c r="D52"/>
  <c r="H51"/>
  <c r="H153" s="1"/>
  <c r="G51"/>
  <c r="F51"/>
  <c r="F153" s="1"/>
  <c r="E51"/>
  <c r="E153" s="1"/>
  <c r="D51"/>
  <c r="D44"/>
  <c r="D43"/>
  <c r="D42"/>
  <c r="D41"/>
  <c r="D40"/>
  <c r="D39"/>
  <c r="D38"/>
  <c r="D37"/>
  <c r="G36"/>
  <c r="D36" s="1"/>
  <c r="D35"/>
  <c r="D34"/>
  <c r="D33"/>
  <c r="D32"/>
  <c r="D31"/>
  <c r="F30"/>
  <c r="D30"/>
  <c r="D29"/>
  <c r="D28"/>
  <c r="F27"/>
  <c r="D27"/>
  <c r="D24"/>
  <c r="D21"/>
  <c r="D18"/>
  <c r="G17"/>
  <c r="F17"/>
  <c r="D17"/>
  <c r="G16"/>
  <c r="F16"/>
  <c r="D16"/>
  <c r="G15"/>
  <c r="F15"/>
  <c r="D15"/>
  <c r="H14"/>
  <c r="H47" s="1"/>
  <c r="H239" s="1"/>
  <c r="G14"/>
  <c r="G47" s="1"/>
  <c r="F14"/>
  <c r="F47" s="1"/>
  <c r="F239" s="1"/>
  <c r="E14"/>
  <c r="D14" s="1"/>
  <c r="H13"/>
  <c r="H46" s="1"/>
  <c r="H238" s="1"/>
  <c r="G13"/>
  <c r="G46" s="1"/>
  <c r="G238" s="1"/>
  <c r="F13"/>
  <c r="F46" s="1"/>
  <c r="F238" s="1"/>
  <c r="E13"/>
  <c r="E46" s="1"/>
  <c r="D13"/>
  <c r="H12"/>
  <c r="H45" s="1"/>
  <c r="H237" s="1"/>
  <c r="G12"/>
  <c r="G45" s="1"/>
  <c r="F12"/>
  <c r="F45" s="1"/>
  <c r="F237" s="1"/>
  <c r="E12"/>
  <c r="E45" s="1"/>
  <c r="D12"/>
  <c r="D38" i="1"/>
  <c r="D37"/>
  <c r="D36"/>
  <c r="D35"/>
  <c r="D34"/>
  <c r="D33"/>
  <c r="D32"/>
  <c r="D31"/>
  <c r="G30"/>
  <c r="D30" s="1"/>
  <c r="D29"/>
  <c r="D28"/>
  <c r="G27"/>
  <c r="D27" s="1"/>
  <c r="H26"/>
  <c r="H41" s="1"/>
  <c r="G26"/>
  <c r="G41" s="1"/>
  <c r="F26"/>
  <c r="F41" s="1"/>
  <c r="E26"/>
  <c r="E41" s="1"/>
  <c r="D26"/>
  <c r="H25"/>
  <c r="H40" s="1"/>
  <c r="G25"/>
  <c r="G40" s="1"/>
  <c r="F25"/>
  <c r="F40" s="1"/>
  <c r="E25"/>
  <c r="E40" s="1"/>
  <c r="D40" s="1"/>
  <c r="K24"/>
  <c r="H24"/>
  <c r="H39" s="1"/>
  <c r="G24"/>
  <c r="D24" s="1"/>
  <c r="F24"/>
  <c r="F39" s="1"/>
  <c r="E24"/>
  <c r="E39" s="1"/>
  <c r="H21"/>
  <c r="H44" s="1"/>
  <c r="G21"/>
  <c r="G44" s="1"/>
  <c r="H20"/>
  <c r="H43" s="1"/>
  <c r="G20"/>
  <c r="H19"/>
  <c r="H42" s="1"/>
  <c r="G19"/>
  <c r="D18"/>
  <c r="D17"/>
  <c r="D16"/>
  <c r="D15"/>
  <c r="E14"/>
  <c r="D14"/>
  <c r="E13"/>
  <c r="D13"/>
  <c r="F12"/>
  <c r="F21" s="1"/>
  <c r="F44" s="1"/>
  <c r="E12"/>
  <c r="E21" s="1"/>
  <c r="F11"/>
  <c r="F20" s="1"/>
  <c r="F43" s="1"/>
  <c r="E11"/>
  <c r="E20" s="1"/>
  <c r="D11"/>
  <c r="F10"/>
  <c r="F19" s="1"/>
  <c r="E10"/>
  <c r="E19" s="1"/>
  <c r="E42" l="1"/>
  <c r="D19"/>
  <c r="E237" i="2"/>
  <c r="D45"/>
  <c r="F42" i="1"/>
  <c r="D20"/>
  <c r="E43"/>
  <c r="E44"/>
  <c r="D21"/>
  <c r="G43"/>
  <c r="D39"/>
  <c r="D41"/>
  <c r="E238" i="2"/>
  <c r="D46"/>
  <c r="G39" i="1"/>
  <c r="G42" s="1"/>
  <c r="E47" i="2"/>
  <c r="D183"/>
  <c r="D10" i="1"/>
  <c r="D12"/>
  <c r="D25"/>
  <c r="D185" i="2"/>
  <c r="G99"/>
  <c r="G101"/>
  <c r="D159"/>
  <c r="D160"/>
  <c r="D161"/>
  <c r="D165"/>
  <c r="D198"/>
  <c r="D207"/>
  <c r="E239" l="1"/>
  <c r="D47"/>
  <c r="D238"/>
  <c r="D43" i="1"/>
  <c r="G81" i="2"/>
  <c r="D99"/>
  <c r="D101"/>
  <c r="G83"/>
  <c r="D44" i="1"/>
  <c r="D42"/>
  <c r="D81" i="2" l="1"/>
  <c r="G153"/>
  <c r="D83"/>
  <c r="G155"/>
  <c r="G237" l="1"/>
  <c r="D153"/>
  <c r="D155"/>
  <c r="G239"/>
  <c r="D239" l="1"/>
  <c r="D237"/>
</calcChain>
</file>

<file path=xl/sharedStrings.xml><?xml version="1.0" encoding="utf-8"?>
<sst xmlns="http://schemas.openxmlformats.org/spreadsheetml/2006/main" count="857" uniqueCount="242">
  <si>
    <t>3.1. Проектная часть</t>
  </si>
  <si>
    <t>№ п/п</t>
  </si>
  <si>
    <t>Наименование мероприятия</t>
  </si>
  <si>
    <t>Год реализации</t>
  </si>
  <si>
    <t>Объем финансового обеспечения по годам реализации, тыс. рублей</t>
  </si>
  <si>
    <t>Результат реализации мероприятия</t>
  </si>
  <si>
    <t>Единица измерения (по ОКЕИ)</t>
  </si>
  <si>
    <t>Значения результата реализации мероприятия по годам</t>
  </si>
  <si>
    <t>Ответственный за достижение результата</t>
  </si>
  <si>
    <t>Связь с показателями целей муниципальной программы</t>
  </si>
  <si>
    <t>всего</t>
  </si>
  <si>
    <t>в разрезе источников финансирования</t>
  </si>
  <si>
    <t xml:space="preserve">ФБ    </t>
  </si>
  <si>
    <t>КБ</t>
  </si>
  <si>
    <t>МБ</t>
  </si>
  <si>
    <t>ВБИ</t>
  </si>
  <si>
    <r>
      <rPr>
        <sz val="12"/>
        <color rgb="FF000000"/>
        <rFont val="Times New Roman"/>
        <family val="1"/>
        <charset val="204"/>
      </rPr>
      <t xml:space="preserve">Задачи муниципальной программы- </t>
    </r>
    <r>
      <rPr>
        <sz val="12"/>
        <color rgb="FF1A1A1A"/>
        <rFont val="Times New Roman"/>
        <family val="1"/>
        <charset val="204"/>
      </rPr>
      <t>1.Формирование эффективной системы патриотического воспитания детей и молодежи, основанной на принципах нравственности и гражданской идентичности.2. Развитие духовно- нравственного, патриотического, эстетического и физического воспитания обучающихся,  гармоничного развития, успешной адаптации и социализации обучающихся, включая формирование ответственного отношения к окружающему миру.</t>
    </r>
  </si>
  <si>
    <t>1</t>
  </si>
  <si>
    <t>Мероприятия, реализуемые в рамках муниципального проекта "Педагоги и наставники".   Статус проекта -1</t>
  </si>
  <si>
    <t>1.1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</si>
  <si>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</si>
  <si>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2025 год</t>
  </si>
  <si>
    <t>В 25-ти общеобразовательных учреждениях муниципального образования Кавказский район проведены мероприятия  по обеспечению деятельности советников директора о воспитанию и взаимодействию с детскими с детскими общественными объединениями</t>
  </si>
  <si>
    <t>процент</t>
  </si>
  <si>
    <t>Управление образования администрации муниципального образования Кавказский район</t>
  </si>
  <si>
    <t>п. 1.1.2</t>
  </si>
  <si>
    <t>2026 год</t>
  </si>
  <si>
    <t>2027 год</t>
  </si>
  <si>
    <t>1.2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</si>
  <si>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</si>
  <si>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Обеспечены ежемесячным денежным вознаграждением за классное руководство</t>
  </si>
  <si>
    <t>человек</t>
  </si>
  <si>
    <t>1.3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</si>
  <si>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</si>
  <si>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Обеспечены ежемесячным денежным вознаграждением советники директоров</t>
  </si>
  <si>
    <t>Итого</t>
  </si>
  <si>
    <t>X</t>
  </si>
  <si>
    <t xml:space="preserve">Задача муниципальной программы- Создание комфортной и безопасной среды для пребывания работников и учащихся в муниципальных образовательных учреждениях. </t>
  </si>
  <si>
    <t>2</t>
  </si>
  <si>
    <t>Мероприятия, реализуемые в рамках муниципального проекта "Капитальный ремонт муниципальных образовательных учреждений муниципального образования Кавказский район".   Статус проекта -3</t>
  </si>
  <si>
    <t>2.1</t>
  </si>
  <si>
    <t>Капитальный ремонт муниципальных образовательных учреждений  муниципального образования   Кавказский район, включая мероприятия по изготовлению проектно - сметной документации, и иных расходов, связанных с проведением работ</t>
  </si>
  <si>
    <t>Проведен  капитальный ремонт здания, помещений</t>
  </si>
  <si>
    <t>единица</t>
  </si>
  <si>
    <t xml:space="preserve">Управление образования администрации муниципального образования Кавказский район, муниципальное казенное учреждение "Единая служба заказчика" </t>
  </si>
  <si>
    <t>п. 1.1.1, п. 1.1.2</t>
  </si>
  <si>
    <t>х</t>
  </si>
  <si>
    <t>2.1.1</t>
  </si>
  <si>
    <t>Капитальный ремонт муниципальных дошкольных образовательных учреждений,  включая мероприятия по изготовлению проектно - сметной документации, и иных расходов, связанных с проведением работ</t>
  </si>
  <si>
    <t>п. 1.1.1</t>
  </si>
  <si>
    <t>2.1.2</t>
  </si>
  <si>
    <t>Капитальный ремонт муниципальных  общеобразовательных учреждений,  включая мероприятия по изготовлению проектно - сметной документации, и иных расходов, связанных с проведением работ</t>
  </si>
  <si>
    <t>2.1.3</t>
  </si>
  <si>
    <t>Капитальный ремонт муниципальных  образовательных учреждений дополнительного образования</t>
  </si>
  <si>
    <t>2.2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</si>
  <si>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</si>
  <si>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Проведен  капитальный ремонт помещений</t>
  </si>
  <si>
    <t>Всего проектная часть</t>
  </si>
  <si>
    <t xml:space="preserve">*Указывается статус: </t>
  </si>
  <si>
    <t xml:space="preserve">1 - в рамках муниципального проекта, обеспечивающего достижение и (или) вклад в достижение целей и (или) показателей и реализацию результатов регионального и (или) федерального проекта, входящего в состав национального проекта; </t>
  </si>
  <si>
    <t xml:space="preserve">2 - в рамках муниципального проекта, обеспечивающего достижение и (или) вклад в достижение целей и (или) показателей и реализацию результатов регионального и (или) федерального проекта, являющегося структурным элементом, государственной программы Российской Федерации и не входящего в состав национального проекта; </t>
  </si>
  <si>
    <t>3 - в рамках муниципального проекта, не направленного на обеспечение достижения и (или) вклад в достижение целей и (или) показателей и реализацию регионального проекта.</t>
  </si>
  <si>
    <t>Исполняющий обязанности заместителя главы муниципального образования Кавказский район</t>
  </si>
  <si>
    <t>В.А. Пеплов</t>
  </si>
  <si>
    <t>3.2. Процессная часть</t>
  </si>
  <si>
    <t>Общая характеристика, наименование мероприятия</t>
  </si>
  <si>
    <t>Объем финансового обеспечения по годам реализации, тыс. руб.</t>
  </si>
  <si>
    <t>Ответствен­ный за достижение результата</t>
  </si>
  <si>
    <t>ФБ</t>
  </si>
  <si>
    <t>Задача муниципальной программы - обеспечение доступности дошкольного образования,  формирование общей культуры, развитие физических, интеллектуальных, нравственных, эстетических и личностных качеств, формирование предпосылок учебной деятельности, сохранение и укрепление здоровья детей дошкольного возраста</t>
  </si>
  <si>
    <t>Комплекс процессных мероприятий - развитие системы дошкольного образования в муниципальном образовании Кавказский район</t>
  </si>
  <si>
    <t>Ответственный за реализацию комплекса процессных мероприятий - управление образования администрации муниципального образования Кавказский район</t>
  </si>
  <si>
    <t xml:space="preserve">Финансовое обеспечение деятельности муниципальных бюджетных и автономных учреждений на реализацию программ дошкольного образования </t>
  </si>
  <si>
    <t>обеспечена деятельность  32 учреждений дошкольного образования</t>
  </si>
  <si>
    <t>1.1.1</t>
  </si>
  <si>
    <t>Расходы на обеспечение деятельности муниципальных учреждений (оказание муниципальных услуг)</t>
  </si>
  <si>
    <t>Получено доступное и качественное образование детей в 32 учреждениях дошкольного образования</t>
  </si>
  <si>
    <t>1.1.2</t>
  </si>
  <si>
    <t>Расходы на обеспечение деятельности муниципальных учреждений (иные расходы, не связанные с оказанием муниципальных услуг)</t>
  </si>
  <si>
    <t>Обеспечено дополнительное стимулирование отдельных категорий работников</t>
  </si>
  <si>
    <t>Обеспечена выплата педагогическим работникам ДОУ (3000,0 руб.)</t>
  </si>
  <si>
    <t>Обеспечена дополнительная выплата педагогическим работникам ДОУ (5000,0 руб.)</t>
  </si>
  <si>
    <t xml:space="preserve">Обеспечение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  </t>
  </si>
  <si>
    <t>Осуществлены компенсационные  выплаты родителям</t>
  </si>
  <si>
    <t>Компенсация расходов на оплату жилых помещений, отопления и освещения педагогическим работникам муниципальных образовательных организаций,  проживающим и работающим в сельских населенных пунктах</t>
  </si>
  <si>
    <t>Осуществлены компенсационные выплаты расходов педагогическим работникам</t>
  </si>
  <si>
    <t>1.4</t>
  </si>
  <si>
    <t>Дополнительная помощь местным бюджетам для решения социально-значимых вопросов</t>
  </si>
  <si>
    <t>Проведен капитальный,  текущий ремонт, благоустройство территории и укреплена материально-техническая база в учреждениях дошкольного образования</t>
  </si>
  <si>
    <t>1.5</t>
  </si>
  <si>
    <t xml:space="preserve">Осуществление муниципальными дошкольными образовательными учреждениями текущего ремонта зданий, сооружений, ограждения территории и благоустройство территорий, прилегающих к зданиям и сооружениям, в том числе разработка и изготовление сметной документации, и иных расходов, связанных с проведением работ </t>
  </si>
  <si>
    <t>Осуществлен  текущий ремонт, благоустройство территории и ремонт ограждения</t>
  </si>
  <si>
    <t>1.6</t>
  </si>
  <si>
    <t xml:space="preserve"> Реализация мероприятий в области образования, наказы избирателей</t>
  </si>
  <si>
    <t>Проведен текущий ремонт и укреплена материально-техническая база в учреждениях дошкольного образования</t>
  </si>
  <si>
    <t>1.7</t>
  </si>
  <si>
    <t>Материально- техническое обеспечение дошкольных учреждений и иные расходы, связанные с установкой, подключением и вводом в эксплуатацию приобретенного оборудования</t>
  </si>
  <si>
    <t>Укреплена материально-техническая база дошкольных учреждений</t>
  </si>
  <si>
    <t>Задача муниципальной программы - формирование физически здоровой, духовно богатой, высоконравственной, образованной личности; создание предпосылок для вхождения в открытое информационно-образовательное пространство;  разностороннее развитие детей и их познавательных интересов, творческих способностей, общеучебных умений, а также создание условий для самореализации личности</t>
  </si>
  <si>
    <t>Комплекс процессных мероприятий - развитие системы общего образования в муниципальном образовании Кавказский район</t>
  </si>
  <si>
    <t>Финансовое обеспечение деятельности муниципальных бюджетных и автономных учреждений на реализацию программ общего образования</t>
  </si>
  <si>
    <t>обеспечена деятельность 25 общеобразовательных учреждений</t>
  </si>
  <si>
    <t>Получено доступное и качественное образование детей в 25 учреждениях общего образования</t>
  </si>
  <si>
    <t>Обеспечена выплата работники в возрасте до 35 лет, трудоустроившиеся в течение двух лет со дня окончания образовательной организации по основному месту работы и по основной должности в соответствии с полученной квалификацией</t>
  </si>
  <si>
    <t>Обеспечена выплата педагогическим работникам к началу учебного года</t>
  </si>
  <si>
    <t>Предоставлена компенсационная выплата за выполнение функций классного руководителя</t>
  </si>
  <si>
    <t xml:space="preserve">Обеспечена дополнительная выплата учителям и отдельным педагогическим работникам </t>
  </si>
  <si>
    <t>Количество общеобразовательных учреждений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 деятельности</t>
  </si>
  <si>
    <t>Осуществление ежемесячной доплаты педагогическим работникам муниципальных общеобразовательных организации в возрасте до 35 лет (включительно) муниципального образования Кавказский район</t>
  </si>
  <si>
    <t xml:space="preserve">Обеспечены ежемесячной доплатой педагогические работники в возрасте до 35 лет (включительно) </t>
  </si>
  <si>
    <t>2.3</t>
  </si>
  <si>
    <t>Осуществление единовременной выплаты педагогическим работникам - молодым специалистам, впервые трудоустроенным в муниципальные общеобразовательные организации муниципального образования Кавказский район</t>
  </si>
  <si>
    <t>Обеспечены единовременной выплатой молодые специалисты</t>
  </si>
  <si>
    <t>2.4</t>
  </si>
  <si>
    <t>Организация питания учащихся  муниципальных общеобразовательных учреждений</t>
  </si>
  <si>
    <t xml:space="preserve"> х</t>
  </si>
  <si>
    <t>2.4.1</t>
  </si>
  <si>
    <t xml:space="preserve">Организация питания учащихся  муниципальных общеобразовательных учреждений, реализующих общеобразовательные программы </t>
  </si>
  <si>
    <t>Обеспечено питания учащихся 5- 11 классов</t>
  </si>
  <si>
    <t>2.4.2</t>
  </si>
  <si>
    <t>Обеспечение бесплатным одноразовым горячим питанием обучающихся 5-11 классов в муниципальных общеобразовательных организациях, в целях поддержки членов семей граждан Российской Федерации, принимающих участие в выполнении специальной военной операции</t>
  </si>
  <si>
    <t>2.4.3</t>
  </si>
  <si>
    <t xml:space="preserve"> Обеспечение одноразовым бесплатным питанием учащихся из многодетных семей в муниципальных общеобразовательных организациях (за исключением обучающихся по образовательным программам начального общего образования, обучающихся с ограниченными возможностями здоровья и детей-инвалидов (инвалидов), не являющихся обучающимися с ограниченными возможностями здоровья, получающих основное общее и среднее общее образование)</t>
  </si>
  <si>
    <t xml:space="preserve">Обеспечено питание учащихся  из многодетных семей </t>
  </si>
  <si>
    <t>2.4.4</t>
  </si>
  <si>
    <t xml:space="preserve">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</si>
  <si>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Обеспечено бесплатное горячее  питание учащихся 1-4 классов</t>
  </si>
  <si>
    <t>2.4.5</t>
  </si>
  <si>
    <t>Услуга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</si>
  <si>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Обеспечено питания учащихся 1-4 классов</t>
  </si>
  <si>
    <t>2.4.6</t>
  </si>
  <si>
    <t>Организация и обеспечение бесплатным питанием обучающихся с ограниченными возможностями здоровья в муниципальных общеобразовательных организациях</t>
  </si>
  <si>
    <t>Обеспечено бесплатное питание обучающихся с ограниченными возможностями здоровья</t>
  </si>
  <si>
    <t>2.4.6.1</t>
  </si>
  <si>
    <t>2.4.6.2</t>
  </si>
  <si>
    <t>Организация и обеспечение бесплатным питанием обучающихся с ограниченными возможностями здоровья в муниципальных общеобразовательных учреждениях</t>
  </si>
  <si>
    <t>Оплачена комиссия банку за перечисление денежной компенсации на лицевые счета родителей</t>
  </si>
  <si>
    <t>2.4.7</t>
  </si>
  <si>
    <t>Организация и обеспечение бесплатным горячим питанием детей- инвалидов (инвалидов), не являющихся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учреждениях</t>
  </si>
  <si>
    <t>Обеспечено питание учащихся детей- инвалидов (инвалидов), не являющихся с ограниченными возможностями здоровья</t>
  </si>
  <si>
    <t>2.4.7.1</t>
  </si>
  <si>
    <t xml:space="preserve"> Организация и обеспечение бесплатным двухразовым питанием детей- инвалидов (инвалидов), не являющихся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</si>
  <si>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Обеспечено бесплатное питание учащихся детей- инвалидов (инвалидов), не являющихся с ограниченными возможностями здоровья</t>
  </si>
  <si>
    <t>2.4.7.2</t>
  </si>
  <si>
    <t xml:space="preserve"> Услуга по организации бесплатным двухразовым питанием детей- инвалидов (инвалидов), не являющихся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учреждениях</t>
  </si>
  <si>
    <t>2.5</t>
  </si>
  <si>
    <t>2.6</t>
  </si>
  <si>
    <t>Материально-техническое обеспечение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</si>
  <si>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Укреплена материально-техническая база пунктов проведения экзаменов</t>
  </si>
  <si>
    <t>Произведена выплата педагогическим работникам</t>
  </si>
  <si>
    <t>2.7</t>
  </si>
  <si>
    <t>Проведен капитальный,  текущий ремонт, благоустройство территории и укреплена материально-техническая база</t>
  </si>
  <si>
    <t>2.8</t>
  </si>
  <si>
    <t>Осуществление муниципальными общеобразовательными учреждениями текущего ремонта зданий, сооружений, ограждения территории и благоустройство территорий, прилегающих к зданиям и сооружениям муниципальных организаций, в том числе разработка и изготовление сметной документации, и иных расходов, связанных с проведением работ</t>
  </si>
  <si>
    <t>2.9</t>
  </si>
  <si>
    <t>Наказы избирателей</t>
  </si>
  <si>
    <t>Выполнены наказы избирателей</t>
  </si>
  <si>
    <t>2.10</t>
  </si>
  <si>
    <t>Материально- техническое обеспечение образовательных учреждений и иные расходы, связанные с установкой, подключением и вводом в эксплуатацию приобретенного оборудования</t>
  </si>
  <si>
    <t>Укреплена материально-техническая база образовательных учреждений</t>
  </si>
  <si>
    <t>2.11</t>
  </si>
  <si>
    <t xml:space="preserve"> Реализация мероприятий в области образования</t>
  </si>
  <si>
    <t>Проведены мероприятия в области образования</t>
  </si>
  <si>
    <t>2.11.1</t>
  </si>
  <si>
    <t xml:space="preserve"> Организация и проведение муниципальных творческих конкурсов и мероприятий по правовому воспитанию учащихся</t>
  </si>
  <si>
    <t xml:space="preserve"> Проведены муниципальные творческие конкурсы и мероприятия </t>
  </si>
  <si>
    <t>2.11.2</t>
  </si>
  <si>
    <t>Организация и обеспечение участия в краевых творческих конкурсах и фестивалях в рамках профилактики подростковой преступности</t>
  </si>
  <si>
    <t xml:space="preserve">Принято участие  в краевых творческих конкурсах и фестивалях </t>
  </si>
  <si>
    <t>Отдел по делам несовершеннолетних управления опеки и попечительства в отношении несовершеннолетних администрации МО Кавказский район</t>
  </si>
  <si>
    <t>2.11.3</t>
  </si>
  <si>
    <t>Мероприятия по сохранению объектов культурного наследия</t>
  </si>
  <si>
    <t xml:space="preserve"> Проведены мероприятия по ремонту учреждений для сохранения объектов культурного наследия</t>
  </si>
  <si>
    <t>2.12</t>
  </si>
  <si>
    <t>Задача муниципальной программы - формирование и развитие творческих способностей детей, удовлетворение их индивидуальных потребностей в интеллектуальном, нравственном и физическом совершенствовании, формирование культуры здорового и безопасного образа жизни, укрепление здоровья,   организация их свободного времени,   адаптация к жизни в обществе, а также выявление и поддержка талантливых и одаренных детей</t>
  </si>
  <si>
    <t>3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</si>
  <si>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- </t>
    </r>
    <r>
      <rPr>
        <sz val="13"/>
        <color rgb="FF000000"/>
        <rFont val="Times New Roman"/>
        <family val="1"/>
        <charset val="204"/>
      </rPr>
      <t>Развитие системы дополнительного образования в муниципальном образовании Кавказский район</t>
    </r>
  </si>
  <si>
    <t>3.1</t>
  </si>
  <si>
    <t>Финансовое обеспечение деятельности муниципальных бюджетных и автономных учреждений на реализацию программ дополнительного образования (предоставление субсидий на оказание муниципальных услуг)</t>
  </si>
  <si>
    <t>Обеспечена деятельность  4-х учреждений дополнительного образования детей</t>
  </si>
  <si>
    <t>п. 1.1.3</t>
  </si>
  <si>
    <t xml:space="preserve">3.2. </t>
  </si>
  <si>
    <t xml:space="preserve"> Обеспечение функционирования модели социального заказа в системе дополнительного образования детей</t>
  </si>
  <si>
    <t>Получили сертификат дополнительного образования в рамках социального заказа</t>
  </si>
  <si>
    <t>3.3</t>
  </si>
  <si>
    <t>3.4</t>
  </si>
  <si>
    <t>3.5</t>
  </si>
  <si>
    <t xml:space="preserve"> Осуществление учреждениями дополнительного образования текущего ремонта зданий, сооружений, ограждения территории и благоустройство территорий, прилегающих к зданиям и сооружениям муниципальных организаций, в том числе разработка и изготовление сметной документации, и иных расходов, связанных с проведением текущего  ремонта</t>
  </si>
  <si>
    <t>Осуществлен  текущий ремонт учреждений</t>
  </si>
  <si>
    <t>3.6</t>
  </si>
  <si>
    <t>Проведен текущий ремонт и укреплена материально-техническая база учреждений дополнительного образования</t>
  </si>
  <si>
    <t>3.7</t>
  </si>
  <si>
    <t>Материально- техническое обеспечение учреждений дополнительного образования и иные расходы, связанные с установкой, подключением и вводом в эксплуатацию приобретенного оборудования</t>
  </si>
  <si>
    <t>Укреплена материально-техническая база учреждений дополнительного образования</t>
  </si>
  <si>
    <t>3.8</t>
  </si>
  <si>
    <t>Мероприятия, направленные на финансирование муниципальных организаций,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</t>
  </si>
  <si>
    <t>Проведен медицинский осмотр учащихся</t>
  </si>
  <si>
    <t>чел.</t>
  </si>
  <si>
    <t>Задача муниципальной программы - обеспечение высокого качества управления процессами развития образования на муниципальном уровне, в пределах своей компетенции</t>
  </si>
  <si>
    <t>4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</si>
  <si>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- </t>
    </r>
    <r>
      <rPr>
        <sz val="13"/>
        <color rgb="FF000000"/>
        <rFont val="Times New Roman"/>
        <family val="1"/>
        <charset val="204"/>
      </rPr>
      <t xml:space="preserve">  обеспечение деятельности органов управления в сфере образования</t>
    </r>
  </si>
  <si>
    <t>4.1</t>
  </si>
  <si>
    <t xml:space="preserve"> Расходы на обеспечение функций органов местного самоуправления</t>
  </si>
  <si>
    <t>Обеспечена деятельность управления образования МО Кавказский район</t>
  </si>
  <si>
    <t>п. 1.1.4</t>
  </si>
  <si>
    <t>Задача муниципальной программы - организация и осуществление деятельности в области бухгалтерского учета и отчетности на основании договоров на передачу полномочий на ведение бухгалтерского учета</t>
  </si>
  <si>
    <t>5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</si>
  <si>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- </t>
    </r>
    <r>
      <rPr>
        <sz val="13"/>
        <color rgb="FF000000"/>
        <rFont val="Times New Roman"/>
        <family val="1"/>
        <charset val="204"/>
      </rPr>
      <t xml:space="preserve"> обеспечение деятельности в области бухгалтерского и бюджетного учета</t>
    </r>
  </si>
  <si>
    <t>5.1</t>
  </si>
  <si>
    <t xml:space="preserve"> Расходы на обеспечение деятельности муниципальных  казенных учреждений</t>
  </si>
  <si>
    <t>Обеспечена деятельность МКУ "ЦБО"</t>
  </si>
  <si>
    <t>Задача муниципальной программы - информационное и методическое сопровождение деятельности учреждений отрасли образования</t>
  </si>
  <si>
    <t>6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</si>
  <si>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- </t>
    </r>
    <r>
      <rPr>
        <sz val="13"/>
        <color rgb="FF000000"/>
        <rFont val="Times New Roman"/>
        <family val="1"/>
        <charset val="204"/>
      </rPr>
      <t xml:space="preserve"> прочие мероприятия в области образования</t>
    </r>
  </si>
  <si>
    <t>6.1</t>
  </si>
  <si>
    <t xml:space="preserve"> Расходы на обеспечение деятельности муниципальных казенных учреждений</t>
  </si>
  <si>
    <t>Обеспечена деятельность МКУ "ОМЦ" МО Кавказский район</t>
  </si>
  <si>
    <t>6.2</t>
  </si>
  <si>
    <t>Обеспечение единовременной выплатой молодых специалистов- победителей (призеров) муниципальных конкурсов профессионального мастерства «Лучший по профессии»</t>
  </si>
  <si>
    <t xml:space="preserve">Обеспечены единовременной выплатой молодые специалисты </t>
  </si>
  <si>
    <t>п. 1.1.1, 1.1.2, 1.1.3</t>
  </si>
  <si>
    <t>6.3</t>
  </si>
  <si>
    <t>п. 1.1.1, 1.1.2, 1.1.3, 1.1.4</t>
  </si>
  <si>
    <t>6.4</t>
  </si>
  <si>
    <t>Меры материального стимулирования в виде денежной выплаты студентам очной формы обучения, которые поступили на целевое обучение в пределах квоты по программам бакалавриата и программам специалитета на основании заключенных договоров о целевом обучении с отраслевым (функциональным) органом администрации муниципального образования Кавказский район или муниципальной образовательной организацией</t>
  </si>
  <si>
    <t>Обеспечены мерами материального стимулирования</t>
  </si>
  <si>
    <t>п. 1.1.1., 1.1.2, 1.1.3, 1.1.4</t>
  </si>
  <si>
    <t>Задача муниципальной программы - создание и обеспечение условий для проведения и участия в олимпиадах, конкурсах и иных мероприятиях различного уровня для одаренных детей</t>
  </si>
  <si>
    <t>7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</si>
  <si>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- </t>
    </r>
    <r>
      <rPr>
        <sz val="13"/>
        <color rgb="FF000000"/>
        <rFont val="Times New Roman"/>
        <family val="1"/>
        <charset val="204"/>
      </rPr>
      <t xml:space="preserve"> поддержка одаренных детей и талантливой молодежи</t>
    </r>
  </si>
  <si>
    <t>7.1</t>
  </si>
  <si>
    <t xml:space="preserve"> Организация и проведение предметных олимпиад, научно-практических конференций, конкурсов  </t>
  </si>
  <si>
    <t>Обеспечено участие одаренных детей и талантливой молодежи</t>
  </si>
  <si>
    <t>7.2</t>
  </si>
  <si>
    <t>Обеспечение участия школьников  в учебно-тренировочных сборах, очно-заочном  и очном обучении, лекториях, тренингах по подготовке к олимпиадам, профильных интеллектуальных и творческих сменах, зональных, краевых, всероссийских мероприятиях (олимпиады, конференции, конкурсы, фестивали, форумы и т. д.)</t>
  </si>
  <si>
    <t>п. 1.1.2, 1.1.3, 1.1.4</t>
  </si>
  <si>
    <t>7.3</t>
  </si>
  <si>
    <t xml:space="preserve"> Чествование одаренных детей и их наставников (победителей  и призеров творческих конкурсов и олимпиад, выпускников, получивших медали «За особые успехи в учении» и набравших  100 баллов при сдаче ЕГЭ и др.) </t>
  </si>
  <si>
    <t>Награждены победители  и призеры творческих конкурсов и олимпиад, выпускники, получившие медали «За особые успехи в учении» и набравших  100 баллов при сдаче ЕГЭ и их наставники и др.</t>
  </si>
  <si>
    <t>Всего процессная часть</t>
  </si>
  <si>
    <t>Приложение 2
к изменениям, утвержденным постановлением администрации муниципального образования Кавказский район
от 13.11.2025 № 2171</t>
  </si>
  <si>
    <t>Приложение 1
к изменениям, утвержденным постановлением администрации муниципального образования Кавказский район
от 13.11.2025 № 2171</t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</si>
</sst>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1"/>
      <color rgb="FF000000"/>
      <name val="Cambria"/>
      <charset val="204"/>
    </font>
    <font>
      <sz val="10"/>
      <color rgb="FFFFFFFF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0"/>
      <color rgb="FFCC0000"/>
      <name val="Cambria"/>
      <family val="1"/>
      <charset val="204"/>
    </font>
    <font>
      <b/>
      <sz val="10"/>
      <color rgb="FFFFFFFF"/>
      <name val="Cambria"/>
      <family val="1"/>
      <charset val="204"/>
    </font>
    <font>
      <i/>
      <sz val="10"/>
      <color rgb="FF808080"/>
      <name val="Cambria"/>
      <family val="1"/>
      <charset val="204"/>
    </font>
    <font>
      <sz val="10"/>
      <color rgb="FF006600"/>
      <name val="Cambria"/>
      <family val="1"/>
      <charset val="204"/>
    </font>
    <font>
      <sz val="18"/>
      <color rgb="FF000000"/>
      <name val="Cambria"/>
      <family val="1"/>
      <charset val="204"/>
    </font>
    <font>
      <b/>
      <sz val="24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  <font>
      <u/>
      <sz val="10"/>
      <color rgb="FF0000EE"/>
      <name val="Cambria"/>
      <family val="1"/>
      <charset val="204"/>
    </font>
    <font>
      <sz val="10"/>
      <color rgb="FF996600"/>
      <name val="Cambria"/>
      <family val="1"/>
      <charset val="204"/>
    </font>
    <font>
      <sz val="10"/>
      <color rgb="FF333333"/>
      <name val="Cambria"/>
      <family val="1"/>
      <charset val="204"/>
    </font>
    <font>
      <sz val="11"/>
      <color rgb="FF000000"/>
      <name val="Cambria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B050"/>
      <name val="Calibri"/>
      <family val="2"/>
      <charset val="204"/>
    </font>
    <font>
      <sz val="9"/>
      <color rgb="FFFF0000"/>
      <name val="Calibri"/>
      <family val="2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3"/>
      <color rgb="FF000000"/>
      <name val="Times New Roman"/>
      <family val="1"/>
      <charset val="204"/>
    </font>
    <font>
      <strike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1A1A1A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rgb="FFFFFFCC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8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0" borderId="0" applyBorder="0" applyProtection="0"/>
    <xf numFmtId="0" fontId="11" fillId="8" borderId="0" applyBorder="0" applyProtection="0"/>
    <xf numFmtId="0" fontId="12" fillId="8" borderId="1" applyProtection="0"/>
    <xf numFmtId="0" fontId="13" fillId="0" borderId="0" applyBorder="0" applyProtection="0"/>
    <xf numFmtId="0" fontId="13" fillId="0" borderId="0" applyBorder="0" applyProtection="0"/>
    <xf numFmtId="0" fontId="3" fillId="0" borderId="0" applyBorder="0" applyProtection="0"/>
  </cellStyleXfs>
  <cellXfs count="79">
    <xf numFmtId="0" fontId="0" fillId="0" borderId="0" xfId="0"/>
    <xf numFmtId="49" fontId="0" fillId="9" borderId="0" xfId="0" applyNumberFormat="1" applyFont="1" applyFill="1" applyAlignment="1" applyProtection="1"/>
    <xf numFmtId="0" fontId="0" fillId="9" borderId="0" xfId="0" applyFill="1" applyAlignment="1" applyProtection="1"/>
    <xf numFmtId="0" fontId="0" fillId="9" borderId="0" xfId="0" applyFont="1" applyFill="1" applyAlignment="1" applyProtection="1">
      <alignment horizontal="center"/>
    </xf>
    <xf numFmtId="0" fontId="0" fillId="9" borderId="0" xfId="0" applyFill="1"/>
    <xf numFmtId="0" fontId="22" fillId="9" borderId="0" xfId="0" applyFont="1" applyFill="1" applyAlignment="1" applyProtection="1"/>
    <xf numFmtId="0" fontId="22" fillId="9" borderId="0" xfId="0" applyFont="1" applyFill="1" applyAlignment="1" applyProtection="1">
      <alignment horizontal="center"/>
    </xf>
    <xf numFmtId="0" fontId="14" fillId="9" borderId="2" xfId="0" applyFont="1" applyFill="1" applyBorder="1" applyAlignment="1" applyProtection="1">
      <alignment horizontal="center" vertical="center" wrapText="1"/>
    </xf>
    <xf numFmtId="49" fontId="17" fillId="9" borderId="2" xfId="0" applyNumberFormat="1" applyFont="1" applyFill="1" applyBorder="1" applyAlignment="1" applyProtection="1">
      <alignment horizontal="center" vertical="center" wrapText="1"/>
    </xf>
    <xf numFmtId="0" fontId="17" fillId="9" borderId="2" xfId="0" applyFont="1" applyFill="1" applyBorder="1" applyAlignment="1" applyProtection="1">
      <alignment horizontal="center" vertical="center" wrapText="1"/>
    </xf>
    <xf numFmtId="0" fontId="19" fillId="9" borderId="2" xfId="0" applyFont="1" applyFill="1" applyBorder="1" applyAlignment="1" applyProtection="1">
      <alignment horizontal="center" vertical="center" wrapText="1"/>
    </xf>
    <xf numFmtId="0" fontId="23" fillId="9" borderId="0" xfId="0" applyFont="1" applyFill="1" applyAlignment="1" applyProtection="1"/>
    <xf numFmtId="164" fontId="14" fillId="9" borderId="2" xfId="0" applyNumberFormat="1" applyFont="1" applyFill="1" applyBorder="1" applyAlignment="1" applyProtection="1">
      <alignment horizontal="center" vertical="center" wrapText="1"/>
    </xf>
    <xf numFmtId="0" fontId="24" fillId="9" borderId="2" xfId="0" applyFont="1" applyFill="1" applyBorder="1" applyAlignment="1" applyProtection="1">
      <alignment horizontal="center" vertical="center" wrapText="1"/>
    </xf>
    <xf numFmtId="164" fontId="14" fillId="10" borderId="2" xfId="0" applyNumberFormat="1" applyFont="1" applyFill="1" applyBorder="1" applyAlignment="1" applyProtection="1">
      <alignment horizontal="center" vertical="center" wrapText="1"/>
    </xf>
    <xf numFmtId="164" fontId="18" fillId="9" borderId="2" xfId="0" applyNumberFormat="1" applyFont="1" applyFill="1" applyBorder="1" applyAlignment="1" applyProtection="1">
      <alignment horizontal="center" vertical="center" wrapText="1"/>
    </xf>
    <xf numFmtId="0" fontId="20" fillId="9" borderId="2" xfId="0" applyFont="1" applyFill="1" applyBorder="1" applyAlignment="1" applyProtection="1">
      <alignment horizontal="center" vertical="center" wrapText="1"/>
    </xf>
    <xf numFmtId="164" fontId="20" fillId="9" borderId="2" xfId="0" applyNumberFormat="1" applyFont="1" applyFill="1" applyBorder="1" applyAlignment="1" applyProtection="1">
      <alignment horizontal="center" vertical="center" wrapText="1"/>
    </xf>
    <xf numFmtId="0" fontId="25" fillId="9" borderId="2" xfId="0" applyFont="1" applyFill="1" applyBorder="1" applyAlignment="1" applyProtection="1">
      <alignment horizontal="center" vertical="center" wrapText="1"/>
    </xf>
    <xf numFmtId="164" fontId="18" fillId="10" borderId="2" xfId="0" applyNumberFormat="1" applyFont="1" applyFill="1" applyBorder="1" applyAlignment="1" applyProtection="1">
      <alignment horizontal="center" vertical="center" wrapText="1"/>
    </xf>
    <xf numFmtId="0" fontId="27" fillId="9" borderId="6" xfId="0" applyFont="1" applyFill="1" applyBorder="1" applyAlignment="1" applyProtection="1">
      <alignment wrapText="1"/>
    </xf>
    <xf numFmtId="0" fontId="27" fillId="9" borderId="0" xfId="0" applyFont="1" applyFill="1" applyAlignment="1" applyProtection="1">
      <alignment wrapText="1"/>
    </xf>
    <xf numFmtId="0" fontId="28" fillId="9" borderId="6" xfId="0" applyFont="1" applyFill="1" applyBorder="1" applyAlignment="1" applyProtection="1">
      <alignment wrapText="1"/>
    </xf>
    <xf numFmtId="0" fontId="30" fillId="9" borderId="0" xfId="0" applyFont="1" applyFill="1" applyAlignment="1" applyProtection="1"/>
    <xf numFmtId="49" fontId="14" fillId="9" borderId="2" xfId="0" applyNumberFormat="1" applyFont="1" applyFill="1" applyBorder="1" applyAlignment="1" applyProtection="1">
      <alignment horizontal="center" vertical="center" wrapText="1"/>
    </xf>
    <xf numFmtId="0" fontId="17" fillId="9" borderId="0" xfId="0" applyFont="1" applyFill="1" applyAlignment="1" applyProtection="1"/>
    <xf numFmtId="164" fontId="31" fillId="9" borderId="2" xfId="0" applyNumberFormat="1" applyFont="1" applyFill="1" applyBorder="1" applyAlignment="1" applyProtection="1">
      <alignment horizontal="center" vertical="center" wrapText="1"/>
    </xf>
    <xf numFmtId="164" fontId="22" fillId="9" borderId="0" xfId="0" applyNumberFormat="1" applyFont="1" applyFill="1" applyAlignment="1" applyProtection="1"/>
    <xf numFmtId="0" fontId="31" fillId="9" borderId="0" xfId="0" applyFont="1" applyFill="1" applyBorder="1" applyAlignment="1" applyProtection="1">
      <alignment horizontal="left" vertical="center" wrapText="1"/>
    </xf>
    <xf numFmtId="0" fontId="20" fillId="9" borderId="0" xfId="0" applyFont="1" applyFill="1" applyBorder="1" applyAlignment="1" applyProtection="1">
      <alignment horizontal="center" vertical="center" wrapText="1"/>
    </xf>
    <xf numFmtId="164" fontId="20" fillId="9" borderId="0" xfId="0" applyNumberFormat="1" applyFont="1" applyFill="1" applyBorder="1" applyAlignment="1" applyProtection="1">
      <alignment horizontal="center" vertical="center" wrapText="1"/>
    </xf>
    <xf numFmtId="0" fontId="21" fillId="9" borderId="0" xfId="0" applyFont="1" applyFill="1" applyBorder="1" applyAlignment="1" applyProtection="1">
      <alignment horizontal="center" vertical="center" wrapText="1"/>
    </xf>
    <xf numFmtId="0" fontId="14" fillId="9" borderId="0" xfId="0" applyFont="1" applyFill="1" applyAlignment="1" applyProtection="1">
      <alignment horizontal="left" vertical="center" wrapText="1"/>
    </xf>
    <xf numFmtId="0" fontId="17" fillId="9" borderId="0" xfId="0" applyFont="1" applyFill="1" applyAlignment="1" applyProtection="1">
      <alignment vertical="top"/>
    </xf>
    <xf numFmtId="0" fontId="33" fillId="9" borderId="0" xfId="0" applyFont="1" applyFill="1" applyAlignment="1" applyProtection="1">
      <alignment vertical="top" wrapText="1"/>
    </xf>
    <xf numFmtId="0" fontId="17" fillId="9" borderId="0" xfId="0" applyFont="1" applyFill="1" applyAlignment="1" applyProtection="1">
      <alignment horizontal="left" vertical="top"/>
    </xf>
    <xf numFmtId="0" fontId="17" fillId="9" borderId="0" xfId="0" applyFont="1" applyFill="1" applyAlignment="1" applyProtection="1">
      <alignment horizontal="center" vertical="top" wrapText="1"/>
    </xf>
    <xf numFmtId="0" fontId="0" fillId="9" borderId="0" xfId="0" applyFont="1" applyFill="1" applyAlignment="1" applyProtection="1"/>
    <xf numFmtId="49" fontId="14" fillId="9" borderId="0" xfId="0" applyNumberFormat="1" applyFont="1" applyFill="1" applyAlignment="1" applyProtection="1">
      <alignment vertical="center"/>
    </xf>
    <xf numFmtId="0" fontId="14" fillId="9" borderId="0" xfId="0" applyFont="1" applyFill="1" applyAlignment="1" applyProtection="1">
      <alignment horizontal="left"/>
    </xf>
    <xf numFmtId="49" fontId="14" fillId="9" borderId="0" xfId="0" applyNumberFormat="1" applyFont="1" applyFill="1" applyAlignment="1" applyProtection="1">
      <alignment horizontal="left" vertical="center"/>
    </xf>
    <xf numFmtId="49" fontId="19" fillId="9" borderId="0" xfId="0" applyNumberFormat="1" applyFont="1" applyFill="1" applyAlignment="1" applyProtection="1">
      <alignment horizontal="left" vertical="center"/>
    </xf>
    <xf numFmtId="49" fontId="13" fillId="9" borderId="0" xfId="0" applyNumberFormat="1" applyFont="1" applyFill="1" applyBorder="1" applyAlignment="1" applyProtection="1"/>
    <xf numFmtId="0" fontId="14" fillId="11" borderId="2" xfId="0" applyFont="1" applyFill="1" applyBorder="1" applyAlignment="1" applyProtection="1">
      <alignment horizontal="center" vertical="center" wrapText="1"/>
    </xf>
    <xf numFmtId="49" fontId="14" fillId="9" borderId="0" xfId="0" applyNumberFormat="1" applyFont="1" applyFill="1" applyBorder="1" applyAlignment="1" applyProtection="1">
      <alignment horizontal="center" vertical="center" wrapText="1"/>
    </xf>
    <xf numFmtId="0" fontId="14" fillId="9" borderId="0" xfId="0" applyFont="1" applyFill="1" applyBorder="1" applyAlignment="1" applyProtection="1">
      <alignment horizontal="center" vertical="center" wrapText="1"/>
    </xf>
    <xf numFmtId="49" fontId="14" fillId="9" borderId="0" xfId="0" applyNumberFormat="1" applyFont="1" applyFill="1" applyBorder="1" applyAlignment="1" applyProtection="1">
      <alignment horizontal="left" vertical="center"/>
    </xf>
    <xf numFmtId="0" fontId="14" fillId="9" borderId="0" xfId="0" applyFont="1" applyFill="1" applyBorder="1" applyAlignment="1" applyProtection="1">
      <alignment horizontal="left" wrapText="1"/>
    </xf>
    <xf numFmtId="0" fontId="15" fillId="9" borderId="0" xfId="0" applyFont="1" applyFill="1" applyBorder="1" applyAlignment="1" applyProtection="1">
      <alignment horizontal="center" vertical="center"/>
    </xf>
    <xf numFmtId="49" fontId="14" fillId="9" borderId="2" xfId="0" applyNumberFormat="1" applyFont="1" applyFill="1" applyBorder="1" applyAlignment="1" applyProtection="1">
      <alignment horizontal="center" vertical="center" wrapText="1"/>
    </xf>
    <xf numFmtId="0" fontId="14" fillId="9" borderId="2" xfId="0" applyFont="1" applyFill="1" applyBorder="1" applyAlignment="1" applyProtection="1">
      <alignment horizontal="center" vertical="center" wrapText="1"/>
    </xf>
    <xf numFmtId="0" fontId="14" fillId="9" borderId="2" xfId="0" applyFont="1" applyFill="1" applyBorder="1" applyAlignment="1" applyProtection="1">
      <alignment horizontal="left" vertical="center" wrapText="1"/>
    </xf>
    <xf numFmtId="0" fontId="17" fillId="9" borderId="2" xfId="0" applyFont="1" applyFill="1" applyBorder="1" applyAlignment="1" applyProtection="1">
      <alignment horizontal="center" vertical="center" wrapText="1"/>
    </xf>
    <xf numFmtId="0" fontId="19" fillId="9" borderId="2" xfId="0" applyFont="1" applyFill="1" applyBorder="1" applyAlignment="1" applyProtection="1">
      <alignment horizontal="center" vertical="center" wrapText="1"/>
    </xf>
    <xf numFmtId="0" fontId="21" fillId="9" borderId="2" xfId="0" applyFont="1" applyFill="1" applyBorder="1" applyAlignment="1" applyProtection="1">
      <alignment horizontal="center" vertical="center" wrapText="1"/>
    </xf>
    <xf numFmtId="0" fontId="20" fillId="9" borderId="2" xfId="0" applyFont="1" applyFill="1" applyBorder="1" applyAlignment="1" applyProtection="1">
      <alignment horizontal="center" vertical="center" wrapText="1"/>
    </xf>
    <xf numFmtId="49" fontId="14" fillId="9" borderId="3" xfId="0" applyNumberFormat="1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 wrapText="1"/>
    </xf>
    <xf numFmtId="49" fontId="20" fillId="9" borderId="2" xfId="0" applyNumberFormat="1" applyFont="1" applyFill="1" applyBorder="1" applyAlignment="1" applyProtection="1">
      <alignment horizontal="center" vertical="center" wrapText="1"/>
    </xf>
    <xf numFmtId="0" fontId="15" fillId="9" borderId="0" xfId="0" applyFont="1" applyFill="1" applyBorder="1" applyAlignment="1" applyProtection="1">
      <alignment horizontal="center"/>
    </xf>
    <xf numFmtId="0" fontId="14" fillId="9" borderId="0" xfId="0" applyFont="1" applyFill="1" applyBorder="1" applyAlignment="1" applyProtection="1">
      <alignment horizontal="left" vertical="center"/>
    </xf>
    <xf numFmtId="0" fontId="33" fillId="9" borderId="0" xfId="0" applyFont="1" applyFill="1" applyBorder="1" applyAlignment="1" applyProtection="1">
      <alignment horizontal="left" wrapText="1"/>
    </xf>
    <xf numFmtId="0" fontId="14" fillId="9" borderId="2" xfId="0" applyFont="1" applyFill="1" applyBorder="1" applyAlignment="1" applyProtection="1">
      <alignment horizontal="justify" vertical="center" wrapText="1"/>
    </xf>
    <xf numFmtId="49" fontId="14" fillId="9" borderId="4" xfId="0" applyNumberFormat="1" applyFont="1" applyFill="1" applyBorder="1" applyAlignment="1" applyProtection="1">
      <alignment horizontal="center" vertical="center" wrapText="1"/>
    </xf>
    <xf numFmtId="164" fontId="14" fillId="9" borderId="2" xfId="0" applyNumberFormat="1" applyFont="1" applyFill="1" applyBorder="1" applyAlignment="1" applyProtection="1">
      <alignment horizontal="center" vertical="center" wrapText="1"/>
    </xf>
    <xf numFmtId="0" fontId="19" fillId="9" borderId="4" xfId="0" applyFont="1" applyFill="1" applyBorder="1" applyAlignment="1" applyProtection="1">
      <alignment horizontal="center" vertical="center" wrapText="1"/>
    </xf>
    <xf numFmtId="0" fontId="17" fillId="9" borderId="4" xfId="0" applyFont="1" applyFill="1" applyBorder="1" applyAlignment="1" applyProtection="1">
      <alignment horizontal="center" vertical="center" wrapText="1"/>
    </xf>
    <xf numFmtId="0" fontId="17" fillId="9" borderId="5" xfId="0" applyFont="1" applyFill="1" applyBorder="1" applyAlignment="1" applyProtection="1">
      <alignment horizontal="center" vertical="center" wrapText="1"/>
    </xf>
    <xf numFmtId="49" fontId="20" fillId="9" borderId="2" xfId="0" applyNumberFormat="1" applyFont="1" applyFill="1" applyBorder="1" applyAlignment="1" applyProtection="1">
      <alignment horizontal="left" vertical="center" wrapText="1"/>
    </xf>
    <xf numFmtId="164" fontId="18" fillId="9" borderId="2" xfId="0" applyNumberFormat="1" applyFont="1" applyFill="1" applyBorder="1" applyAlignment="1" applyProtection="1">
      <alignment horizontal="center" vertical="center" wrapText="1"/>
    </xf>
    <xf numFmtId="0" fontId="26" fillId="9" borderId="2" xfId="0" applyFont="1" applyFill="1" applyBorder="1" applyAlignment="1" applyProtection="1">
      <alignment horizontal="center" vertical="center" wrapText="1"/>
    </xf>
    <xf numFmtId="0" fontId="29" fillId="9" borderId="2" xfId="0" applyFont="1" applyFill="1" applyBorder="1" applyAlignment="1" applyProtection="1">
      <alignment horizontal="center" vertical="center" wrapText="1"/>
    </xf>
    <xf numFmtId="49" fontId="19" fillId="9" borderId="2" xfId="0" applyNumberFormat="1" applyFont="1" applyFill="1" applyBorder="1" applyAlignment="1" applyProtection="1">
      <alignment horizontal="center" vertical="center" wrapText="1"/>
    </xf>
    <xf numFmtId="0" fontId="32" fillId="9" borderId="2" xfId="0" applyFont="1" applyFill="1" applyBorder="1" applyAlignment="1" applyProtection="1">
      <alignment horizontal="center" vertical="center" wrapText="1"/>
    </xf>
    <xf numFmtId="0" fontId="14" fillId="9" borderId="0" xfId="0" applyFont="1" applyFill="1" applyBorder="1" applyAlignment="1" applyProtection="1">
      <alignment horizontal="left" vertical="center" wrapText="1"/>
    </xf>
    <xf numFmtId="0" fontId="34" fillId="9" borderId="0" xfId="0" applyFont="1" applyFill="1" applyBorder="1" applyAlignment="1" applyProtection="1">
      <alignment horizontal="center"/>
    </xf>
    <xf numFmtId="49" fontId="17" fillId="9" borderId="0" xfId="0" applyNumberFormat="1" applyFont="1" applyFill="1" applyBorder="1" applyAlignment="1" applyProtection="1">
      <alignment horizontal="center" vertical="center"/>
    </xf>
    <xf numFmtId="49" fontId="14" fillId="9" borderId="0" xfId="0" applyNumberFormat="1" applyFont="1" applyFill="1" applyBorder="1" applyAlignment="1" applyProtection="1">
      <alignment horizontal="left" vertical="center"/>
    </xf>
    <xf numFmtId="0" fontId="31" fillId="9" borderId="2" xfId="0" applyFont="1" applyFill="1" applyBorder="1" applyAlignment="1" applyProtection="1">
      <alignment horizontal="left" vertical="center" wrapText="1"/>
    </xf>
  </cellXfs>
  <cellStyles count="18">
    <cellStyle name="Accent 1 5" xfId="1"/>
    <cellStyle name="Accent 2 6" xfId="2"/>
    <cellStyle name="Accent 3 7" xfId="3"/>
    <cellStyle name="Accent 4" xfId="4"/>
    <cellStyle name="Bad 8" xfId="5"/>
    <cellStyle name="Error 9" xfId="6"/>
    <cellStyle name="Footnote 10" xfId="7"/>
    <cellStyle name="Good 11" xfId="8"/>
    <cellStyle name="Heading 1 13" xfId="9"/>
    <cellStyle name="Heading 12" xfId="10"/>
    <cellStyle name="Heading 2 14" xfId="11"/>
    <cellStyle name="Hyperlink 15" xfId="12"/>
    <cellStyle name="Neutral 16" xfId="13"/>
    <cellStyle name="Note 17" xfId="14"/>
    <cellStyle name="Status 18" xfId="15"/>
    <cellStyle name="Text 19" xfId="16"/>
    <cellStyle name="Warning 20" xfId="17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1A1A1A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view="pageBreakPreview" zoomScale="60" zoomScaleNormal="90" workbookViewId="0">
      <selection activeCell="K11" sqref="K11"/>
    </sheetView>
  </sheetViews>
  <sheetFormatPr defaultColWidth="10.5" defaultRowHeight="14.25"/>
  <cols>
    <col min="1" max="1" width="7" style="2" customWidth="1"/>
    <col min="2" max="2" width="36.875" style="2" customWidth="1"/>
    <col min="3" max="8" width="12.125" style="2" customWidth="1"/>
    <col min="9" max="9" width="18.125" style="2" customWidth="1"/>
    <col min="10" max="11" width="12.125" style="2" customWidth="1"/>
    <col min="12" max="12" width="20.375" style="2" customWidth="1"/>
    <col min="13" max="13" width="12.125" style="2" customWidth="1"/>
    <col min="14" max="16384" width="10.5" style="4"/>
  </cols>
  <sheetData>
    <row r="1" spans="1:13" ht="90.4" customHeight="1">
      <c r="A1" s="42"/>
      <c r="K1" s="47" t="s">
        <v>241</v>
      </c>
      <c r="L1" s="47"/>
      <c r="M1" s="47"/>
    </row>
    <row r="2" spans="1:13">
      <c r="A2" s="42"/>
    </row>
    <row r="3" spans="1:13" ht="18.75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27.4" customHeight="1">
      <c r="A4" s="49" t="s">
        <v>1</v>
      </c>
      <c r="B4" s="50" t="s">
        <v>2</v>
      </c>
      <c r="C4" s="50" t="s">
        <v>3</v>
      </c>
      <c r="D4" s="50" t="s">
        <v>4</v>
      </c>
      <c r="E4" s="50"/>
      <c r="F4" s="50"/>
      <c r="G4" s="50"/>
      <c r="H4" s="50"/>
      <c r="I4" s="50" t="s">
        <v>5</v>
      </c>
      <c r="J4" s="50" t="s">
        <v>6</v>
      </c>
      <c r="K4" s="50" t="s">
        <v>7</v>
      </c>
      <c r="L4" s="50" t="s">
        <v>8</v>
      </c>
      <c r="M4" s="50" t="s">
        <v>9</v>
      </c>
    </row>
    <row r="5" spans="1:13" ht="15" customHeight="1">
      <c r="A5" s="49"/>
      <c r="B5" s="50"/>
      <c r="C5" s="50"/>
      <c r="D5" s="50" t="s">
        <v>10</v>
      </c>
      <c r="E5" s="50" t="s">
        <v>11</v>
      </c>
      <c r="F5" s="50"/>
      <c r="G5" s="50"/>
      <c r="H5" s="50"/>
      <c r="I5" s="50"/>
      <c r="J5" s="50"/>
      <c r="K5" s="50"/>
      <c r="L5" s="50"/>
      <c r="M5" s="50"/>
    </row>
    <row r="6" spans="1:13" ht="28.15" customHeight="1">
      <c r="A6" s="49"/>
      <c r="B6" s="50"/>
      <c r="C6" s="50"/>
      <c r="D6" s="50"/>
      <c r="E6" s="7" t="s">
        <v>12</v>
      </c>
      <c r="F6" s="7" t="s">
        <v>13</v>
      </c>
      <c r="G6" s="7" t="s">
        <v>14</v>
      </c>
      <c r="H6" s="7" t="s">
        <v>15</v>
      </c>
      <c r="I6" s="50"/>
      <c r="J6" s="50"/>
      <c r="K6" s="50"/>
      <c r="L6" s="50"/>
      <c r="M6" s="50"/>
    </row>
    <row r="7" spans="1:13" ht="15.75">
      <c r="A7" s="24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3" ht="52.15" customHeight="1">
      <c r="A8" s="51" t="s">
        <v>16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27.4" customHeight="1">
      <c r="A9" s="24" t="s">
        <v>17</v>
      </c>
      <c r="B9" s="51" t="s">
        <v>18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</row>
    <row r="10" spans="1:13" ht="67.900000000000006" customHeight="1">
      <c r="A10" s="49" t="s">
        <v>19</v>
      </c>
      <c r="B10" s="50" t="s">
        <v>20</v>
      </c>
      <c r="C10" s="7" t="s">
        <v>21</v>
      </c>
      <c r="D10" s="12">
        <f t="shared" ref="D10:D21" si="0">SUM(E10:H10)</f>
        <v>6606.5000000000009</v>
      </c>
      <c r="E10" s="12">
        <f>6323.1+19.1</f>
        <v>6342.2000000000007</v>
      </c>
      <c r="F10" s="12">
        <f>263.5+0.8</f>
        <v>264.3</v>
      </c>
      <c r="G10" s="12">
        <v>0</v>
      </c>
      <c r="H10" s="12">
        <v>0</v>
      </c>
      <c r="I10" s="52" t="s">
        <v>22</v>
      </c>
      <c r="J10" s="50" t="s">
        <v>23</v>
      </c>
      <c r="K10" s="7">
        <v>100</v>
      </c>
      <c r="L10" s="52" t="s">
        <v>24</v>
      </c>
      <c r="M10" s="49" t="s">
        <v>25</v>
      </c>
    </row>
    <row r="11" spans="1:13" ht="67.900000000000006" customHeight="1">
      <c r="A11" s="49"/>
      <c r="B11" s="50"/>
      <c r="C11" s="7" t="s">
        <v>26</v>
      </c>
      <c r="D11" s="12">
        <f t="shared" si="0"/>
        <v>6706.7</v>
      </c>
      <c r="E11" s="12">
        <f>7643.5-1205.1</f>
        <v>6438.4</v>
      </c>
      <c r="F11" s="12">
        <f>318.5-50.2</f>
        <v>268.3</v>
      </c>
      <c r="G11" s="12">
        <v>0</v>
      </c>
      <c r="H11" s="12">
        <v>0</v>
      </c>
      <c r="I11" s="52"/>
      <c r="J11" s="50"/>
      <c r="K11" s="7">
        <v>100</v>
      </c>
      <c r="L11" s="52"/>
      <c r="M11" s="49"/>
    </row>
    <row r="12" spans="1:13" ht="67.900000000000006" customHeight="1">
      <c r="A12" s="49"/>
      <c r="B12" s="50"/>
      <c r="C12" s="7" t="s">
        <v>27</v>
      </c>
      <c r="D12" s="12">
        <f t="shared" si="0"/>
        <v>6828</v>
      </c>
      <c r="E12" s="12">
        <f>7643.5-1088.7</f>
        <v>6554.8</v>
      </c>
      <c r="F12" s="12">
        <f>318.5-45.3</f>
        <v>273.2</v>
      </c>
      <c r="G12" s="12">
        <v>0</v>
      </c>
      <c r="H12" s="12">
        <v>0</v>
      </c>
      <c r="I12" s="52"/>
      <c r="J12" s="50"/>
      <c r="K12" s="7">
        <v>100</v>
      </c>
      <c r="L12" s="52"/>
      <c r="M12" s="49"/>
    </row>
    <row r="13" spans="1:13" ht="29.85" customHeight="1">
      <c r="A13" s="49" t="s">
        <v>28</v>
      </c>
      <c r="B13" s="50" t="s">
        <v>29</v>
      </c>
      <c r="C13" s="7" t="s">
        <v>21</v>
      </c>
      <c r="D13" s="12">
        <f t="shared" si="0"/>
        <v>85338.3</v>
      </c>
      <c r="E13" s="15">
        <f>42809.8+42528.5</f>
        <v>85338.3</v>
      </c>
      <c r="F13" s="12">
        <v>0</v>
      </c>
      <c r="G13" s="12">
        <v>0</v>
      </c>
      <c r="H13" s="12">
        <v>0</v>
      </c>
      <c r="I13" s="52" t="s">
        <v>30</v>
      </c>
      <c r="J13" s="53" t="s">
        <v>31</v>
      </c>
      <c r="K13" s="7">
        <v>566</v>
      </c>
      <c r="L13" s="52" t="s">
        <v>24</v>
      </c>
      <c r="M13" s="49" t="s">
        <v>25</v>
      </c>
    </row>
    <row r="14" spans="1:13" ht="29.85" customHeight="1">
      <c r="A14" s="49"/>
      <c r="B14" s="50"/>
      <c r="C14" s="7" t="s">
        <v>26</v>
      </c>
      <c r="D14" s="12">
        <f t="shared" si="0"/>
        <v>85338.3</v>
      </c>
      <c r="E14" s="15">
        <f>42809.8+42528.5</f>
        <v>85338.3</v>
      </c>
      <c r="F14" s="12">
        <v>0</v>
      </c>
      <c r="G14" s="12">
        <v>0</v>
      </c>
      <c r="H14" s="12">
        <v>0</v>
      </c>
      <c r="I14" s="52"/>
      <c r="J14" s="53"/>
      <c r="K14" s="7">
        <v>566</v>
      </c>
      <c r="L14" s="52"/>
      <c r="M14" s="49"/>
    </row>
    <row r="15" spans="1:13" ht="29.85" customHeight="1">
      <c r="A15" s="49"/>
      <c r="B15" s="50"/>
      <c r="C15" s="7" t="s">
        <v>27</v>
      </c>
      <c r="D15" s="12">
        <f t="shared" si="0"/>
        <v>85338.3</v>
      </c>
      <c r="E15" s="15">
        <v>85338.3</v>
      </c>
      <c r="F15" s="12">
        <v>0</v>
      </c>
      <c r="G15" s="12">
        <v>0</v>
      </c>
      <c r="H15" s="12">
        <v>0</v>
      </c>
      <c r="I15" s="52"/>
      <c r="J15" s="53"/>
      <c r="K15" s="7">
        <v>566</v>
      </c>
      <c r="L15" s="52"/>
      <c r="M15" s="49"/>
    </row>
    <row r="16" spans="1:13" ht="39.75" customHeight="1">
      <c r="A16" s="49" t="s">
        <v>32</v>
      </c>
      <c r="B16" s="50" t="s">
        <v>33</v>
      </c>
      <c r="C16" s="7" t="s">
        <v>21</v>
      </c>
      <c r="D16" s="12">
        <f t="shared" si="0"/>
        <v>1953</v>
      </c>
      <c r="E16" s="12">
        <v>1953</v>
      </c>
      <c r="F16" s="12">
        <v>0</v>
      </c>
      <c r="G16" s="12">
        <v>0</v>
      </c>
      <c r="H16" s="12">
        <v>0</v>
      </c>
      <c r="I16" s="52" t="s">
        <v>34</v>
      </c>
      <c r="J16" s="53" t="s">
        <v>31</v>
      </c>
      <c r="K16" s="7">
        <v>25</v>
      </c>
      <c r="L16" s="52" t="s">
        <v>24</v>
      </c>
      <c r="M16" s="49" t="s">
        <v>25</v>
      </c>
    </row>
    <row r="17" spans="1:13" ht="39.75" customHeight="1">
      <c r="A17" s="49"/>
      <c r="B17" s="50"/>
      <c r="C17" s="7" t="s">
        <v>26</v>
      </c>
      <c r="D17" s="12">
        <f t="shared" si="0"/>
        <v>1953</v>
      </c>
      <c r="E17" s="12">
        <v>1953</v>
      </c>
      <c r="F17" s="12">
        <v>0</v>
      </c>
      <c r="G17" s="12">
        <v>0</v>
      </c>
      <c r="H17" s="12">
        <v>0</v>
      </c>
      <c r="I17" s="52"/>
      <c r="J17" s="53"/>
      <c r="K17" s="7">
        <v>25</v>
      </c>
      <c r="L17" s="52"/>
      <c r="M17" s="49"/>
    </row>
    <row r="18" spans="1:13" ht="39.75" customHeight="1">
      <c r="A18" s="49"/>
      <c r="B18" s="50"/>
      <c r="C18" s="7" t="s">
        <v>27</v>
      </c>
      <c r="D18" s="12">
        <f t="shared" si="0"/>
        <v>1953</v>
      </c>
      <c r="E18" s="12">
        <v>1953</v>
      </c>
      <c r="F18" s="12">
        <v>0</v>
      </c>
      <c r="G18" s="12">
        <v>0</v>
      </c>
      <c r="H18" s="12">
        <v>0</v>
      </c>
      <c r="I18" s="52"/>
      <c r="J18" s="53"/>
      <c r="K18" s="7">
        <v>25</v>
      </c>
      <c r="L18" s="52"/>
      <c r="M18" s="49"/>
    </row>
    <row r="19" spans="1:13" ht="24" customHeight="1">
      <c r="A19" s="55" t="s">
        <v>35</v>
      </c>
      <c r="B19" s="55"/>
      <c r="C19" s="16" t="s">
        <v>21</v>
      </c>
      <c r="D19" s="17">
        <f t="shared" si="0"/>
        <v>93897.8</v>
      </c>
      <c r="E19" s="17">
        <f t="shared" ref="E19:H21" si="1">E10+E13+E16</f>
        <v>93633.5</v>
      </c>
      <c r="F19" s="17">
        <f t="shared" si="1"/>
        <v>264.3</v>
      </c>
      <c r="G19" s="17">
        <f t="shared" si="1"/>
        <v>0</v>
      </c>
      <c r="H19" s="17">
        <f t="shared" si="1"/>
        <v>0</v>
      </c>
      <c r="I19" s="54" t="s">
        <v>36</v>
      </c>
      <c r="J19" s="54" t="s">
        <v>36</v>
      </c>
      <c r="K19" s="54" t="s">
        <v>36</v>
      </c>
      <c r="L19" s="54" t="s">
        <v>36</v>
      </c>
      <c r="M19" s="54" t="s">
        <v>36</v>
      </c>
    </row>
    <row r="20" spans="1:13" ht="24" customHeight="1">
      <c r="A20" s="55"/>
      <c r="B20" s="55"/>
      <c r="C20" s="16" t="s">
        <v>26</v>
      </c>
      <c r="D20" s="17">
        <f t="shared" si="0"/>
        <v>93998</v>
      </c>
      <c r="E20" s="17">
        <f t="shared" si="1"/>
        <v>93729.7</v>
      </c>
      <c r="F20" s="17">
        <f t="shared" si="1"/>
        <v>268.3</v>
      </c>
      <c r="G20" s="17">
        <f t="shared" si="1"/>
        <v>0</v>
      </c>
      <c r="H20" s="17">
        <f t="shared" si="1"/>
        <v>0</v>
      </c>
      <c r="I20" s="54"/>
      <c r="J20" s="54"/>
      <c r="K20" s="54"/>
      <c r="L20" s="54"/>
      <c r="M20" s="54"/>
    </row>
    <row r="21" spans="1:13" ht="24" customHeight="1">
      <c r="A21" s="55"/>
      <c r="B21" s="55"/>
      <c r="C21" s="16" t="s">
        <v>27</v>
      </c>
      <c r="D21" s="17">
        <f t="shared" si="0"/>
        <v>94119.3</v>
      </c>
      <c r="E21" s="17">
        <f t="shared" si="1"/>
        <v>93846.1</v>
      </c>
      <c r="F21" s="17">
        <f t="shared" si="1"/>
        <v>273.2</v>
      </c>
      <c r="G21" s="17">
        <f t="shared" si="1"/>
        <v>0</v>
      </c>
      <c r="H21" s="17">
        <f t="shared" si="1"/>
        <v>0</v>
      </c>
      <c r="I21" s="54"/>
      <c r="J21" s="54"/>
      <c r="K21" s="54"/>
      <c r="L21" s="54"/>
      <c r="M21" s="54"/>
    </row>
    <row r="22" spans="1:13" ht="27.4" customHeight="1">
      <c r="A22" s="51" t="s">
        <v>37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</row>
    <row r="23" spans="1:13" ht="27.4" customHeight="1">
      <c r="A23" s="24" t="s">
        <v>38</v>
      </c>
      <c r="B23" s="51" t="s">
        <v>39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</row>
    <row r="24" spans="1:13" ht="39" customHeight="1">
      <c r="A24" s="49" t="s">
        <v>40</v>
      </c>
      <c r="B24" s="50" t="s">
        <v>41</v>
      </c>
      <c r="C24" s="7" t="s">
        <v>21</v>
      </c>
      <c r="D24" s="12">
        <f>SUM(F24:H24)</f>
        <v>48887.199999999997</v>
      </c>
      <c r="E24" s="12">
        <f t="shared" ref="E24:H26" si="2">E27+E30+E33</f>
        <v>0</v>
      </c>
      <c r="F24" s="12">
        <f t="shared" si="2"/>
        <v>0</v>
      </c>
      <c r="G24" s="12">
        <f t="shared" si="2"/>
        <v>48887.199999999997</v>
      </c>
      <c r="H24" s="12">
        <f t="shared" si="2"/>
        <v>0</v>
      </c>
      <c r="I24" s="52" t="s">
        <v>42</v>
      </c>
      <c r="J24" s="50" t="s">
        <v>43</v>
      </c>
      <c r="K24" s="7">
        <f>K27+K30</f>
        <v>17</v>
      </c>
      <c r="L24" s="52" t="s">
        <v>44</v>
      </c>
      <c r="M24" s="49" t="s">
        <v>45</v>
      </c>
    </row>
    <row r="25" spans="1:13" ht="39" customHeight="1">
      <c r="A25" s="49"/>
      <c r="B25" s="50"/>
      <c r="C25" s="7" t="s">
        <v>26</v>
      </c>
      <c r="D25" s="12">
        <f>SUM(E25:H25)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52"/>
      <c r="J25" s="50"/>
      <c r="K25" s="7" t="s">
        <v>46</v>
      </c>
      <c r="L25" s="52"/>
      <c r="M25" s="49"/>
    </row>
    <row r="26" spans="1:13" ht="39" customHeight="1">
      <c r="A26" s="49"/>
      <c r="B26" s="50"/>
      <c r="C26" s="7" t="s">
        <v>27</v>
      </c>
      <c r="D26" s="12">
        <f>SUM(E26:H26)</f>
        <v>0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52"/>
      <c r="J26" s="50"/>
      <c r="K26" s="7" t="s">
        <v>46</v>
      </c>
      <c r="L26" s="52"/>
      <c r="M26" s="49"/>
    </row>
    <row r="27" spans="1:13" ht="35.65" customHeight="1">
      <c r="A27" s="56" t="s">
        <v>47</v>
      </c>
      <c r="B27" s="57" t="s">
        <v>48</v>
      </c>
      <c r="C27" s="7" t="s">
        <v>21</v>
      </c>
      <c r="D27" s="12">
        <f>SUM(F27:H27)</f>
        <v>6200.4000000000005</v>
      </c>
      <c r="E27" s="12">
        <v>0</v>
      </c>
      <c r="F27" s="12">
        <v>0</v>
      </c>
      <c r="G27" s="14">
        <f>2000+1500+326.1+2951-422-154.7</f>
        <v>6200.4000000000005</v>
      </c>
      <c r="H27" s="12">
        <v>0</v>
      </c>
      <c r="I27" s="52" t="s">
        <v>42</v>
      </c>
      <c r="J27" s="50" t="s">
        <v>43</v>
      </c>
      <c r="K27" s="7">
        <v>3</v>
      </c>
      <c r="L27" s="52" t="s">
        <v>44</v>
      </c>
      <c r="M27" s="49" t="s">
        <v>49</v>
      </c>
    </row>
    <row r="28" spans="1:13" ht="35.65" customHeight="1">
      <c r="A28" s="56"/>
      <c r="B28" s="57"/>
      <c r="C28" s="7" t="s">
        <v>26</v>
      </c>
      <c r="D28" s="12">
        <f>SUM(E28:H28)</f>
        <v>0</v>
      </c>
      <c r="E28" s="12">
        <v>0</v>
      </c>
      <c r="F28" s="12">
        <v>0</v>
      </c>
      <c r="G28" s="12">
        <v>0</v>
      </c>
      <c r="H28" s="12">
        <v>0</v>
      </c>
      <c r="I28" s="52"/>
      <c r="J28" s="50"/>
      <c r="K28" s="7" t="s">
        <v>46</v>
      </c>
      <c r="L28" s="52"/>
      <c r="M28" s="49"/>
    </row>
    <row r="29" spans="1:13" ht="35.65" customHeight="1">
      <c r="A29" s="56"/>
      <c r="B29" s="57"/>
      <c r="C29" s="7" t="s">
        <v>27</v>
      </c>
      <c r="D29" s="12">
        <f>SUM(E29:H29)</f>
        <v>0</v>
      </c>
      <c r="E29" s="12">
        <v>0</v>
      </c>
      <c r="F29" s="12">
        <v>0</v>
      </c>
      <c r="G29" s="12">
        <v>0</v>
      </c>
      <c r="H29" s="12">
        <v>0</v>
      </c>
      <c r="I29" s="52"/>
      <c r="J29" s="50"/>
      <c r="K29" s="7" t="s">
        <v>46</v>
      </c>
      <c r="L29" s="52"/>
      <c r="M29" s="49"/>
    </row>
    <row r="30" spans="1:13" ht="33.950000000000003" customHeight="1">
      <c r="A30" s="56" t="s">
        <v>50</v>
      </c>
      <c r="B30" s="57" t="s">
        <v>51</v>
      </c>
      <c r="C30" s="7" t="s">
        <v>21</v>
      </c>
      <c r="D30" s="12">
        <f>SUM(F30:H30)</f>
        <v>42686.799999999996</v>
      </c>
      <c r="E30" s="12">
        <v>0</v>
      </c>
      <c r="F30" s="12">
        <v>0</v>
      </c>
      <c r="G30" s="14">
        <f>6000+39597+1394.5-597.9-137.4-2951-113.5+422-926.9</f>
        <v>42686.799999999996</v>
      </c>
      <c r="H30" s="12">
        <v>0</v>
      </c>
      <c r="I30" s="52" t="s">
        <v>42</v>
      </c>
      <c r="J30" s="50" t="s">
        <v>43</v>
      </c>
      <c r="K30" s="43">
        <v>14</v>
      </c>
      <c r="L30" s="52" t="s">
        <v>44</v>
      </c>
      <c r="M30" s="49" t="s">
        <v>25</v>
      </c>
    </row>
    <row r="31" spans="1:13" ht="33.950000000000003" customHeight="1">
      <c r="A31" s="56"/>
      <c r="B31" s="57"/>
      <c r="C31" s="7" t="s">
        <v>26</v>
      </c>
      <c r="D31" s="12">
        <f>SUM(E31:H31)</f>
        <v>0</v>
      </c>
      <c r="E31" s="12">
        <v>0</v>
      </c>
      <c r="F31" s="12">
        <v>0</v>
      </c>
      <c r="G31" s="12">
        <v>0</v>
      </c>
      <c r="H31" s="12">
        <v>0</v>
      </c>
      <c r="I31" s="52"/>
      <c r="J31" s="50"/>
      <c r="K31" s="7" t="s">
        <v>46</v>
      </c>
      <c r="L31" s="52"/>
      <c r="M31" s="49"/>
    </row>
    <row r="32" spans="1:13" ht="33.950000000000003" customHeight="1">
      <c r="A32" s="56"/>
      <c r="B32" s="57"/>
      <c r="C32" s="7" t="s">
        <v>27</v>
      </c>
      <c r="D32" s="12">
        <f>SUM(E32:H32)</f>
        <v>0</v>
      </c>
      <c r="E32" s="12">
        <v>0</v>
      </c>
      <c r="F32" s="12">
        <v>0</v>
      </c>
      <c r="G32" s="12">
        <v>0</v>
      </c>
      <c r="H32" s="12">
        <v>0</v>
      </c>
      <c r="I32" s="52"/>
      <c r="J32" s="50"/>
      <c r="K32" s="7" t="s">
        <v>46</v>
      </c>
      <c r="L32" s="52"/>
      <c r="M32" s="49"/>
    </row>
    <row r="33" spans="1:13" ht="39" hidden="1" customHeight="1">
      <c r="A33" s="56" t="s">
        <v>52</v>
      </c>
      <c r="B33" s="57" t="s">
        <v>53</v>
      </c>
      <c r="C33" s="7" t="s">
        <v>21</v>
      </c>
      <c r="D33" s="12">
        <f>SUM(F33:H33)</f>
        <v>0</v>
      </c>
      <c r="E33" s="12">
        <v>0</v>
      </c>
      <c r="F33" s="12">
        <v>0</v>
      </c>
      <c r="G33" s="12">
        <v>0</v>
      </c>
      <c r="H33" s="12">
        <v>0</v>
      </c>
      <c r="I33" s="50"/>
      <c r="J33" s="50" t="s">
        <v>43</v>
      </c>
      <c r="K33" s="7"/>
      <c r="L33" s="7"/>
      <c r="M33" s="7"/>
    </row>
    <row r="34" spans="1:13" ht="39" hidden="1" customHeight="1">
      <c r="A34" s="56"/>
      <c r="B34" s="57"/>
      <c r="C34" s="7" t="s">
        <v>26</v>
      </c>
      <c r="D34" s="12">
        <f>SUM(E34:H34)</f>
        <v>0</v>
      </c>
      <c r="E34" s="12">
        <v>0</v>
      </c>
      <c r="F34" s="12">
        <v>0</v>
      </c>
      <c r="G34" s="12">
        <v>0</v>
      </c>
      <c r="H34" s="12">
        <v>0</v>
      </c>
      <c r="I34" s="50"/>
      <c r="J34" s="50"/>
      <c r="K34" s="7"/>
      <c r="L34" s="7"/>
      <c r="M34" s="7"/>
    </row>
    <row r="35" spans="1:13" ht="39" hidden="1" customHeight="1">
      <c r="A35" s="56"/>
      <c r="B35" s="57"/>
      <c r="C35" s="7" t="s">
        <v>27</v>
      </c>
      <c r="D35" s="12">
        <f>SUM(E35:H35)</f>
        <v>0</v>
      </c>
      <c r="E35" s="12">
        <v>0</v>
      </c>
      <c r="F35" s="12">
        <v>0</v>
      </c>
      <c r="G35" s="12">
        <v>0</v>
      </c>
      <c r="H35" s="12">
        <v>0</v>
      </c>
      <c r="I35" s="50"/>
      <c r="J35" s="50"/>
      <c r="K35" s="7"/>
      <c r="L35" s="7"/>
      <c r="M35" s="7"/>
    </row>
    <row r="36" spans="1:13" ht="49.7" hidden="1" customHeight="1">
      <c r="A36" s="56" t="s">
        <v>54</v>
      </c>
      <c r="B36" s="57" t="s">
        <v>55</v>
      </c>
      <c r="C36" s="7" t="s">
        <v>21</v>
      </c>
      <c r="D36" s="12">
        <f>SUM(F36:H36)</f>
        <v>0</v>
      </c>
      <c r="E36" s="12">
        <v>0</v>
      </c>
      <c r="F36" s="12">
        <v>0</v>
      </c>
      <c r="G36" s="12">
        <v>0</v>
      </c>
      <c r="H36" s="12">
        <v>0</v>
      </c>
      <c r="I36" s="52" t="s">
        <v>56</v>
      </c>
      <c r="J36" s="50" t="s">
        <v>43</v>
      </c>
      <c r="K36" s="7">
        <v>2</v>
      </c>
      <c r="L36" s="52" t="s">
        <v>24</v>
      </c>
      <c r="M36" s="49" t="s">
        <v>25</v>
      </c>
    </row>
    <row r="37" spans="1:13" ht="49.7" hidden="1" customHeight="1">
      <c r="A37" s="56"/>
      <c r="B37" s="57"/>
      <c r="C37" s="7" t="s">
        <v>26</v>
      </c>
      <c r="D37" s="12">
        <f t="shared" ref="D37:D44" si="3">SUM(E37:H37)</f>
        <v>0</v>
      </c>
      <c r="E37" s="12">
        <v>0</v>
      </c>
      <c r="F37" s="12">
        <v>0</v>
      </c>
      <c r="G37" s="12">
        <v>0</v>
      </c>
      <c r="H37" s="12">
        <v>0</v>
      </c>
      <c r="I37" s="52"/>
      <c r="J37" s="50"/>
      <c r="K37" s="7">
        <v>1</v>
      </c>
      <c r="L37" s="52"/>
      <c r="M37" s="49"/>
    </row>
    <row r="38" spans="1:13" ht="49.7" hidden="1" customHeight="1">
      <c r="A38" s="56"/>
      <c r="B38" s="57"/>
      <c r="C38" s="7" t="s">
        <v>27</v>
      </c>
      <c r="D38" s="12">
        <f t="shared" si="3"/>
        <v>0</v>
      </c>
      <c r="E38" s="12">
        <v>0</v>
      </c>
      <c r="F38" s="12">
        <v>0</v>
      </c>
      <c r="G38" s="12">
        <v>0</v>
      </c>
      <c r="H38" s="12">
        <v>0</v>
      </c>
      <c r="I38" s="52"/>
      <c r="J38" s="50"/>
      <c r="K38" s="7" t="s">
        <v>46</v>
      </c>
      <c r="L38" s="52"/>
      <c r="M38" s="49"/>
    </row>
    <row r="39" spans="1:13" ht="21.6" customHeight="1">
      <c r="A39" s="58" t="s">
        <v>35</v>
      </c>
      <c r="B39" s="58"/>
      <c r="C39" s="16" t="s">
        <v>21</v>
      </c>
      <c r="D39" s="17">
        <f t="shared" si="3"/>
        <v>48887.199999999997</v>
      </c>
      <c r="E39" s="17">
        <f t="shared" ref="E39:H41" si="4">E24+E36</f>
        <v>0</v>
      </c>
      <c r="F39" s="17">
        <f t="shared" si="4"/>
        <v>0</v>
      </c>
      <c r="G39" s="17">
        <f t="shared" si="4"/>
        <v>48887.199999999997</v>
      </c>
      <c r="H39" s="17">
        <f t="shared" si="4"/>
        <v>0</v>
      </c>
      <c r="I39" s="54" t="s">
        <v>36</v>
      </c>
      <c r="J39" s="54" t="s">
        <v>36</v>
      </c>
      <c r="K39" s="54" t="s">
        <v>36</v>
      </c>
      <c r="L39" s="54" t="s">
        <v>36</v>
      </c>
      <c r="M39" s="54" t="s">
        <v>36</v>
      </c>
    </row>
    <row r="40" spans="1:13" ht="21.6" customHeight="1">
      <c r="A40" s="58"/>
      <c r="B40" s="58"/>
      <c r="C40" s="16" t="s">
        <v>26</v>
      </c>
      <c r="D40" s="17">
        <f t="shared" si="3"/>
        <v>0</v>
      </c>
      <c r="E40" s="17">
        <f t="shared" si="4"/>
        <v>0</v>
      </c>
      <c r="F40" s="17">
        <f t="shared" si="4"/>
        <v>0</v>
      </c>
      <c r="G40" s="17">
        <f t="shared" si="4"/>
        <v>0</v>
      </c>
      <c r="H40" s="17">
        <f t="shared" si="4"/>
        <v>0</v>
      </c>
      <c r="I40" s="54"/>
      <c r="J40" s="54"/>
      <c r="K40" s="54"/>
      <c r="L40" s="54"/>
      <c r="M40" s="54"/>
    </row>
    <row r="41" spans="1:13" ht="21.6" customHeight="1">
      <c r="A41" s="58"/>
      <c r="B41" s="58"/>
      <c r="C41" s="16" t="s">
        <v>27</v>
      </c>
      <c r="D41" s="17">
        <f t="shared" si="3"/>
        <v>0</v>
      </c>
      <c r="E41" s="17">
        <f t="shared" si="4"/>
        <v>0</v>
      </c>
      <c r="F41" s="17">
        <f t="shared" si="4"/>
        <v>0</v>
      </c>
      <c r="G41" s="17">
        <f t="shared" si="4"/>
        <v>0</v>
      </c>
      <c r="H41" s="17">
        <f t="shared" si="4"/>
        <v>0</v>
      </c>
      <c r="I41" s="54"/>
      <c r="J41" s="54"/>
      <c r="K41" s="54"/>
      <c r="L41" s="54"/>
      <c r="M41" s="54"/>
    </row>
    <row r="42" spans="1:13" ht="21.6" customHeight="1">
      <c r="A42" s="58" t="s">
        <v>57</v>
      </c>
      <c r="B42" s="58"/>
      <c r="C42" s="16" t="s">
        <v>21</v>
      </c>
      <c r="D42" s="17">
        <f t="shared" si="3"/>
        <v>142785</v>
      </c>
      <c r="E42" s="17">
        <f t="shared" ref="E42:H44" si="5">E19+E39</f>
        <v>93633.5</v>
      </c>
      <c r="F42" s="17">
        <f t="shared" si="5"/>
        <v>264.3</v>
      </c>
      <c r="G42" s="17">
        <f t="shared" si="5"/>
        <v>48887.199999999997</v>
      </c>
      <c r="H42" s="17">
        <f t="shared" si="5"/>
        <v>0</v>
      </c>
      <c r="I42" s="54" t="s">
        <v>36</v>
      </c>
      <c r="J42" s="54" t="s">
        <v>36</v>
      </c>
      <c r="K42" s="54" t="s">
        <v>36</v>
      </c>
      <c r="L42" s="54" t="s">
        <v>36</v>
      </c>
      <c r="M42" s="54" t="s">
        <v>36</v>
      </c>
    </row>
    <row r="43" spans="1:13" ht="21.6" customHeight="1">
      <c r="A43" s="58"/>
      <c r="B43" s="58"/>
      <c r="C43" s="16" t="s">
        <v>26</v>
      </c>
      <c r="D43" s="17">
        <f t="shared" si="3"/>
        <v>93998</v>
      </c>
      <c r="E43" s="17">
        <f t="shared" si="5"/>
        <v>93729.7</v>
      </c>
      <c r="F43" s="17">
        <f t="shared" si="5"/>
        <v>268.3</v>
      </c>
      <c r="G43" s="17">
        <f t="shared" si="5"/>
        <v>0</v>
      </c>
      <c r="H43" s="17">
        <f t="shared" si="5"/>
        <v>0</v>
      </c>
      <c r="I43" s="54"/>
      <c r="J43" s="54"/>
      <c r="K43" s="54"/>
      <c r="L43" s="54"/>
      <c r="M43" s="54"/>
    </row>
    <row r="44" spans="1:13" ht="21.6" customHeight="1">
      <c r="A44" s="58"/>
      <c r="B44" s="58"/>
      <c r="C44" s="16" t="s">
        <v>27</v>
      </c>
      <c r="D44" s="17">
        <f t="shared" si="3"/>
        <v>94119.3</v>
      </c>
      <c r="E44" s="17">
        <f t="shared" si="5"/>
        <v>93846.1</v>
      </c>
      <c r="F44" s="17">
        <f t="shared" si="5"/>
        <v>273.2</v>
      </c>
      <c r="G44" s="17">
        <f t="shared" si="5"/>
        <v>0</v>
      </c>
      <c r="H44" s="17">
        <f t="shared" si="5"/>
        <v>0</v>
      </c>
      <c r="I44" s="54"/>
      <c r="J44" s="54"/>
      <c r="K44" s="54"/>
      <c r="L44" s="54"/>
      <c r="M44" s="54"/>
    </row>
    <row r="45" spans="1:13" ht="15.75">
      <c r="A45" s="60" t="s">
        <v>58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</row>
    <row r="46" spans="1:13" ht="27.4" customHeight="1">
      <c r="A46" s="47" t="s">
        <v>59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</row>
    <row r="47" spans="1:13" ht="39.75" customHeight="1">
      <c r="A47" s="47" t="s">
        <v>60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</row>
    <row r="48" spans="1:13" ht="27.4" customHeight="1">
      <c r="A48" s="47" t="s">
        <v>61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</row>
    <row r="49" spans="1:13" ht="15.75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</row>
    <row r="50" spans="1:13" ht="15" customHeight="1">
      <c r="A50" s="47" t="s">
        <v>62</v>
      </c>
      <c r="B50" s="47"/>
      <c r="C50" s="46"/>
      <c r="D50" s="46"/>
      <c r="E50" s="46"/>
      <c r="F50" s="46"/>
      <c r="G50" s="46"/>
      <c r="H50" s="46"/>
      <c r="I50" s="46"/>
      <c r="J50" s="46"/>
      <c r="K50" s="59" t="s">
        <v>63</v>
      </c>
      <c r="L50" s="59"/>
      <c r="M50" s="46"/>
    </row>
    <row r="51" spans="1:13" ht="15.75">
      <c r="A51" s="47"/>
      <c r="B51" s="47"/>
      <c r="C51" s="46"/>
      <c r="D51" s="46"/>
      <c r="E51" s="46"/>
      <c r="F51" s="46"/>
      <c r="G51" s="46"/>
      <c r="H51" s="46"/>
      <c r="I51" s="46"/>
      <c r="J51" s="46"/>
      <c r="K51" s="59"/>
      <c r="L51" s="59"/>
      <c r="M51" s="46"/>
    </row>
  </sheetData>
  <mergeCells count="87">
    <mergeCell ref="A50:B51"/>
    <mergeCell ref="K50:L51"/>
    <mergeCell ref="M42:M44"/>
    <mergeCell ref="A45:M45"/>
    <mergeCell ref="A46:M46"/>
    <mergeCell ref="A47:M47"/>
    <mergeCell ref="A48:M48"/>
    <mergeCell ref="A42:B44"/>
    <mergeCell ref="I42:I44"/>
    <mergeCell ref="J42:J44"/>
    <mergeCell ref="K42:K44"/>
    <mergeCell ref="L42:L44"/>
    <mergeCell ref="L36:L38"/>
    <mergeCell ref="M36:M38"/>
    <mergeCell ref="A39:B41"/>
    <mergeCell ref="I39:I41"/>
    <mergeCell ref="J39:J41"/>
    <mergeCell ref="K39:K41"/>
    <mergeCell ref="L39:L41"/>
    <mergeCell ref="M39:M41"/>
    <mergeCell ref="A33:A35"/>
    <mergeCell ref="B33:B35"/>
    <mergeCell ref="I33:I35"/>
    <mergeCell ref="J33:J35"/>
    <mergeCell ref="A36:A38"/>
    <mergeCell ref="B36:B38"/>
    <mergeCell ref="I36:I38"/>
    <mergeCell ref="J36:J38"/>
    <mergeCell ref="M27:M29"/>
    <mergeCell ref="A30:A32"/>
    <mergeCell ref="B30:B32"/>
    <mergeCell ref="I30:I32"/>
    <mergeCell ref="J30:J32"/>
    <mergeCell ref="L30:L32"/>
    <mergeCell ref="M30:M32"/>
    <mergeCell ref="A27:A29"/>
    <mergeCell ref="B27:B29"/>
    <mergeCell ref="I27:I29"/>
    <mergeCell ref="J27:J29"/>
    <mergeCell ref="L27:L29"/>
    <mergeCell ref="M19:M21"/>
    <mergeCell ref="A22:M22"/>
    <mergeCell ref="B23:M23"/>
    <mergeCell ref="A24:A26"/>
    <mergeCell ref="B24:B26"/>
    <mergeCell ref="I24:I26"/>
    <mergeCell ref="J24:J26"/>
    <mergeCell ref="L24:L26"/>
    <mergeCell ref="M24:M26"/>
    <mergeCell ref="A19:B21"/>
    <mergeCell ref="I19:I21"/>
    <mergeCell ref="J19:J21"/>
    <mergeCell ref="K19:K21"/>
    <mergeCell ref="L19:L21"/>
    <mergeCell ref="M13:M15"/>
    <mergeCell ref="A16:A18"/>
    <mergeCell ref="B16:B18"/>
    <mergeCell ref="I16:I18"/>
    <mergeCell ref="J16:J18"/>
    <mergeCell ref="L16:L18"/>
    <mergeCell ref="M16:M18"/>
    <mergeCell ref="A13:A15"/>
    <mergeCell ref="B13:B15"/>
    <mergeCell ref="I13:I15"/>
    <mergeCell ref="J13:J15"/>
    <mergeCell ref="L13:L15"/>
    <mergeCell ref="A8:M8"/>
    <mergeCell ref="B9:M9"/>
    <mergeCell ref="A10:A12"/>
    <mergeCell ref="B10:B12"/>
    <mergeCell ref="I10:I12"/>
    <mergeCell ref="J10:J12"/>
    <mergeCell ref="L10:L12"/>
    <mergeCell ref="M10:M12"/>
    <mergeCell ref="K1:M1"/>
    <mergeCell ref="A3:M3"/>
    <mergeCell ref="A4:A6"/>
    <mergeCell ref="B4:B6"/>
    <mergeCell ref="C4:C6"/>
    <mergeCell ref="D4:H4"/>
    <mergeCell ref="I4:I6"/>
    <mergeCell ref="J4:J6"/>
    <mergeCell ref="K4:K6"/>
    <mergeCell ref="L4:L6"/>
    <mergeCell ref="M4:M6"/>
    <mergeCell ref="D5:D6"/>
    <mergeCell ref="E5:H5"/>
  </mergeCells>
  <printOptions horizontalCentered="1"/>
  <pageMargins left="0.78740157480314965" right="0.39370078740157483" top="1.1811023622047245" bottom="0.78740157480314965" header="0.98425196850393704" footer="0.15748031496062992"/>
  <pageSetup paperSize="9" scale="64" orientation="landscape" horizontalDpi="300" verticalDpi="30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MK244"/>
  <sheetViews>
    <sheetView view="pageBreakPreview" zoomScale="90" zoomScaleNormal="85" zoomScaleSheetLayoutView="90" workbookViewId="0">
      <selection activeCell="I12" sqref="I12:I14"/>
    </sheetView>
  </sheetViews>
  <sheetFormatPr defaultColWidth="8.625" defaultRowHeight="14.25"/>
  <cols>
    <col min="1" max="1" width="6.625" style="1" customWidth="1"/>
    <col min="2" max="2" width="30" style="2" customWidth="1"/>
    <col min="3" max="3" width="11" style="3" customWidth="1"/>
    <col min="4" max="4" width="16" style="2" customWidth="1"/>
    <col min="5" max="5" width="10.875" style="2" customWidth="1"/>
    <col min="6" max="6" width="13.125" style="2" customWidth="1"/>
    <col min="7" max="7" width="13" style="2" customWidth="1"/>
    <col min="8" max="8" width="11.25" style="2" customWidth="1"/>
    <col min="9" max="9" width="27.5" style="2" customWidth="1"/>
    <col min="10" max="10" width="10.5" style="37" customWidth="1"/>
    <col min="11" max="11" width="11.25" style="2" customWidth="1"/>
    <col min="12" max="12" width="16.875" style="2" customWidth="1"/>
    <col min="13" max="13" width="12.625" style="2" customWidth="1"/>
    <col min="14" max="14" width="12.875" style="2" customWidth="1"/>
    <col min="15" max="1025" width="9.875" style="2" customWidth="1"/>
    <col min="1026" max="16384" width="8.625" style="4"/>
  </cols>
  <sheetData>
    <row r="1" spans="1:16" ht="77.25" customHeight="1">
      <c r="J1" s="61" t="s">
        <v>240</v>
      </c>
      <c r="K1" s="61"/>
      <c r="L1" s="61"/>
      <c r="M1" s="61"/>
    </row>
    <row r="3" spans="1:16" ht="18.75">
      <c r="A3" s="48" t="s">
        <v>64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5"/>
      <c r="O3" s="5"/>
      <c r="P3" s="5"/>
    </row>
    <row r="4" spans="1:16" ht="15">
      <c r="B4" s="5"/>
      <c r="D4" s="6"/>
      <c r="E4" s="6"/>
      <c r="F4" s="6"/>
      <c r="G4" s="6"/>
      <c r="H4" s="6"/>
      <c r="I4" s="5"/>
      <c r="J4" s="5"/>
      <c r="K4" s="6"/>
      <c r="L4" s="5"/>
      <c r="M4" s="5"/>
      <c r="N4" s="5"/>
      <c r="O4" s="5"/>
      <c r="P4" s="5"/>
    </row>
    <row r="5" spans="1:16" ht="33" customHeight="1">
      <c r="A5" s="49" t="s">
        <v>1</v>
      </c>
      <c r="B5" s="50" t="s">
        <v>65</v>
      </c>
      <c r="C5" s="53" t="s">
        <v>3</v>
      </c>
      <c r="D5" s="50" t="s">
        <v>66</v>
      </c>
      <c r="E5" s="50"/>
      <c r="F5" s="50"/>
      <c r="G5" s="50"/>
      <c r="H5" s="50"/>
      <c r="I5" s="50" t="s">
        <v>5</v>
      </c>
      <c r="J5" s="53" t="s">
        <v>6</v>
      </c>
      <c r="K5" s="52" t="s">
        <v>7</v>
      </c>
      <c r="L5" s="50" t="s">
        <v>67</v>
      </c>
      <c r="M5" s="52" t="s">
        <v>9</v>
      </c>
      <c r="N5" s="5"/>
      <c r="O5" s="5"/>
      <c r="P5" s="5"/>
    </row>
    <row r="6" spans="1:16" ht="15" customHeight="1">
      <c r="A6" s="49"/>
      <c r="B6" s="50"/>
      <c r="C6" s="53"/>
      <c r="D6" s="50" t="s">
        <v>10</v>
      </c>
      <c r="E6" s="50" t="s">
        <v>11</v>
      </c>
      <c r="F6" s="50"/>
      <c r="G6" s="50"/>
      <c r="H6" s="50"/>
      <c r="I6" s="50"/>
      <c r="J6" s="53"/>
      <c r="K6" s="52"/>
      <c r="L6" s="52"/>
      <c r="M6" s="52"/>
      <c r="N6" s="5"/>
      <c r="O6" s="5"/>
      <c r="P6" s="5"/>
    </row>
    <row r="7" spans="1:16" ht="33.75" customHeight="1">
      <c r="A7" s="49"/>
      <c r="B7" s="50"/>
      <c r="C7" s="53"/>
      <c r="D7" s="50"/>
      <c r="E7" s="7" t="s">
        <v>68</v>
      </c>
      <c r="F7" s="7" t="s">
        <v>13</v>
      </c>
      <c r="G7" s="7" t="s">
        <v>14</v>
      </c>
      <c r="H7" s="7" t="s">
        <v>15</v>
      </c>
      <c r="I7" s="50"/>
      <c r="J7" s="53"/>
      <c r="K7" s="52"/>
      <c r="L7" s="52"/>
      <c r="M7" s="52"/>
      <c r="N7" s="5"/>
      <c r="O7" s="5"/>
      <c r="P7" s="5"/>
    </row>
    <row r="8" spans="1:16" ht="15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10">
        <v>10</v>
      </c>
      <c r="K8" s="9">
        <v>11</v>
      </c>
      <c r="L8" s="9">
        <v>12</v>
      </c>
      <c r="M8" s="9">
        <v>13</v>
      </c>
      <c r="N8" s="11"/>
      <c r="O8" s="11"/>
      <c r="P8" s="11"/>
    </row>
    <row r="9" spans="1:16" ht="38.25" customHeight="1">
      <c r="A9" s="62" t="s">
        <v>69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5"/>
      <c r="O9" s="5"/>
      <c r="P9" s="5"/>
    </row>
    <row r="10" spans="1:16" ht="18" customHeight="1">
      <c r="A10" s="49">
        <v>1</v>
      </c>
      <c r="B10" s="62" t="s">
        <v>70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5"/>
      <c r="O10" s="5"/>
      <c r="P10" s="5"/>
    </row>
    <row r="11" spans="1:16" ht="18" customHeight="1">
      <c r="A11" s="49"/>
      <c r="B11" s="62" t="s">
        <v>71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5"/>
      <c r="O11" s="5"/>
      <c r="P11" s="5"/>
    </row>
    <row r="12" spans="1:16" ht="31.5" customHeight="1">
      <c r="A12" s="49" t="s">
        <v>19</v>
      </c>
      <c r="B12" s="53" t="s">
        <v>72</v>
      </c>
      <c r="C12" s="7" t="s">
        <v>21</v>
      </c>
      <c r="D12" s="12">
        <f t="shared" ref="D12:D18" si="0">SUM(E12:H12)</f>
        <v>1012024.5</v>
      </c>
      <c r="E12" s="12">
        <f>E15+E18</f>
        <v>0</v>
      </c>
      <c r="F12" s="12">
        <f>F15+F18</f>
        <v>697675.5</v>
      </c>
      <c r="G12" s="12">
        <f>G15+G18</f>
        <v>246849</v>
      </c>
      <c r="H12" s="12">
        <f>H15+H18</f>
        <v>67500</v>
      </c>
      <c r="I12" s="52" t="s">
        <v>73</v>
      </c>
      <c r="J12" s="53" t="s">
        <v>46</v>
      </c>
      <c r="K12" s="7" t="s">
        <v>46</v>
      </c>
      <c r="L12" s="52" t="s">
        <v>46</v>
      </c>
      <c r="M12" s="49" t="s">
        <v>49</v>
      </c>
      <c r="N12" s="5"/>
      <c r="O12" s="5"/>
      <c r="P12" s="5"/>
    </row>
    <row r="13" spans="1:16" ht="27.75" customHeight="1">
      <c r="A13" s="49"/>
      <c r="B13" s="53"/>
      <c r="C13" s="7" t="s">
        <v>26</v>
      </c>
      <c r="D13" s="12">
        <f t="shared" si="0"/>
        <v>1026268.7</v>
      </c>
      <c r="E13" s="12">
        <f>E16+E21</f>
        <v>0</v>
      </c>
      <c r="F13" s="12">
        <f>F16+F21</f>
        <v>729728.2</v>
      </c>
      <c r="G13" s="12">
        <f>G16+G21</f>
        <v>229040.5</v>
      </c>
      <c r="H13" s="12">
        <f>H16+H21</f>
        <v>67500</v>
      </c>
      <c r="I13" s="52"/>
      <c r="J13" s="53"/>
      <c r="K13" s="7" t="s">
        <v>46</v>
      </c>
      <c r="L13" s="52"/>
      <c r="M13" s="49"/>
      <c r="N13" s="5"/>
      <c r="O13" s="5"/>
      <c r="P13" s="5"/>
    </row>
    <row r="14" spans="1:16" ht="29.25" customHeight="1">
      <c r="A14" s="49"/>
      <c r="B14" s="53"/>
      <c r="C14" s="7" t="s">
        <v>27</v>
      </c>
      <c r="D14" s="12">
        <f t="shared" si="0"/>
        <v>1072770.2</v>
      </c>
      <c r="E14" s="12">
        <f>E17+E24</f>
        <v>0</v>
      </c>
      <c r="F14" s="12">
        <f>F17+F24</f>
        <v>776229.7</v>
      </c>
      <c r="G14" s="12">
        <f>G17+G24</f>
        <v>229040.5</v>
      </c>
      <c r="H14" s="12">
        <f>H17+H24</f>
        <v>67500</v>
      </c>
      <c r="I14" s="52"/>
      <c r="J14" s="53"/>
      <c r="K14" s="7" t="s">
        <v>46</v>
      </c>
      <c r="L14" s="52"/>
      <c r="M14" s="49"/>
      <c r="N14" s="5"/>
      <c r="O14" s="5"/>
      <c r="P14" s="5"/>
    </row>
    <row r="15" spans="1:16" ht="28.5" customHeight="1">
      <c r="A15" s="49" t="s">
        <v>74</v>
      </c>
      <c r="B15" s="53" t="s">
        <v>75</v>
      </c>
      <c r="C15" s="7" t="s">
        <v>21</v>
      </c>
      <c r="D15" s="12">
        <f t="shared" si="0"/>
        <v>902062.8</v>
      </c>
      <c r="E15" s="12">
        <v>0</v>
      </c>
      <c r="F15" s="12">
        <f>546349.8+14149.3+27214.7</f>
        <v>587713.80000000005</v>
      </c>
      <c r="G15" s="12">
        <f>229040.5+5982.5+5128.6+1020+5677.4</f>
        <v>246849</v>
      </c>
      <c r="H15" s="12">
        <v>67500</v>
      </c>
      <c r="I15" s="52" t="s">
        <v>76</v>
      </c>
      <c r="J15" s="53" t="s">
        <v>31</v>
      </c>
      <c r="K15" s="7">
        <v>4520</v>
      </c>
      <c r="L15" s="52" t="s">
        <v>24</v>
      </c>
      <c r="M15" s="49" t="s">
        <v>49</v>
      </c>
      <c r="N15" s="5"/>
      <c r="O15" s="5"/>
      <c r="P15" s="5"/>
    </row>
    <row r="16" spans="1:16" ht="37.5" customHeight="1">
      <c r="A16" s="49"/>
      <c r="B16" s="53"/>
      <c r="C16" s="7" t="s">
        <v>26</v>
      </c>
      <c r="D16" s="12">
        <f t="shared" si="0"/>
        <v>916307</v>
      </c>
      <c r="E16" s="12">
        <v>0</v>
      </c>
      <c r="F16" s="12">
        <f>604811.5+14955</f>
        <v>619766.5</v>
      </c>
      <c r="G16" s="12">
        <f>229040.5</f>
        <v>229040.5</v>
      </c>
      <c r="H16" s="12">
        <v>67500</v>
      </c>
      <c r="I16" s="52"/>
      <c r="J16" s="53"/>
      <c r="K16" s="7">
        <v>4525</v>
      </c>
      <c r="L16" s="52"/>
      <c r="M16" s="49"/>
      <c r="N16" s="5"/>
      <c r="O16" s="5"/>
      <c r="P16" s="5"/>
    </row>
    <row r="17" spans="1:16" ht="42.75" customHeight="1">
      <c r="A17" s="49"/>
      <c r="B17" s="53"/>
      <c r="C17" s="7" t="s">
        <v>27</v>
      </c>
      <c r="D17" s="12">
        <f t="shared" si="0"/>
        <v>962808.5</v>
      </c>
      <c r="E17" s="12">
        <v>0</v>
      </c>
      <c r="F17" s="12">
        <f>651313.1+14954.9</f>
        <v>666268</v>
      </c>
      <c r="G17" s="12">
        <f>229040.5</f>
        <v>229040.5</v>
      </c>
      <c r="H17" s="12">
        <v>67500</v>
      </c>
      <c r="I17" s="52"/>
      <c r="J17" s="53"/>
      <c r="K17" s="7">
        <v>4530</v>
      </c>
      <c r="L17" s="52"/>
      <c r="M17" s="49"/>
      <c r="N17" s="5"/>
      <c r="O17" s="5"/>
      <c r="P17" s="5"/>
    </row>
    <row r="18" spans="1:16" ht="35.25" customHeight="1">
      <c r="A18" s="63" t="s">
        <v>77</v>
      </c>
      <c r="B18" s="53" t="s">
        <v>78</v>
      </c>
      <c r="C18" s="50" t="s">
        <v>21</v>
      </c>
      <c r="D18" s="64">
        <f t="shared" si="0"/>
        <v>109961.7</v>
      </c>
      <c r="E18" s="64">
        <v>0</v>
      </c>
      <c r="F18" s="64">
        <v>109961.7</v>
      </c>
      <c r="G18" s="64">
        <v>0</v>
      </c>
      <c r="H18" s="64">
        <v>0</v>
      </c>
      <c r="I18" s="13" t="s">
        <v>79</v>
      </c>
      <c r="J18" s="10" t="s">
        <v>31</v>
      </c>
      <c r="K18" s="7">
        <v>842</v>
      </c>
      <c r="L18" s="52" t="s">
        <v>24</v>
      </c>
      <c r="M18" s="49" t="s">
        <v>49</v>
      </c>
      <c r="N18" s="5"/>
      <c r="O18" s="5"/>
      <c r="P18" s="5"/>
    </row>
    <row r="19" spans="1:16" ht="35.25" customHeight="1">
      <c r="A19" s="63"/>
      <c r="B19" s="53"/>
      <c r="C19" s="50"/>
      <c r="D19" s="64"/>
      <c r="E19" s="64"/>
      <c r="F19" s="64"/>
      <c r="G19" s="64"/>
      <c r="H19" s="64"/>
      <c r="I19" s="13" t="s">
        <v>80</v>
      </c>
      <c r="J19" s="10" t="s">
        <v>31</v>
      </c>
      <c r="K19" s="7">
        <v>574</v>
      </c>
      <c r="L19" s="52"/>
      <c r="M19" s="49"/>
      <c r="N19" s="5"/>
      <c r="O19" s="5"/>
      <c r="P19" s="5"/>
    </row>
    <row r="20" spans="1:16" ht="35.25" customHeight="1">
      <c r="A20" s="63"/>
      <c r="B20" s="53"/>
      <c r="C20" s="50"/>
      <c r="D20" s="64"/>
      <c r="E20" s="64"/>
      <c r="F20" s="64"/>
      <c r="G20" s="64"/>
      <c r="H20" s="64"/>
      <c r="I20" s="13" t="s">
        <v>81</v>
      </c>
      <c r="J20" s="10" t="s">
        <v>31</v>
      </c>
      <c r="K20" s="7">
        <v>558</v>
      </c>
      <c r="L20" s="52"/>
      <c r="M20" s="49"/>
      <c r="N20" s="5"/>
      <c r="O20" s="5"/>
      <c r="P20" s="5"/>
    </row>
    <row r="21" spans="1:16" ht="40.5" customHeight="1">
      <c r="A21" s="63"/>
      <c r="B21" s="53"/>
      <c r="C21" s="50" t="s">
        <v>26</v>
      </c>
      <c r="D21" s="64">
        <f>SUM(E21:H21)</f>
        <v>109961.7</v>
      </c>
      <c r="E21" s="64">
        <v>0</v>
      </c>
      <c r="F21" s="64">
        <v>109961.7</v>
      </c>
      <c r="G21" s="64">
        <v>0</v>
      </c>
      <c r="H21" s="64">
        <v>0</v>
      </c>
      <c r="I21" s="13" t="s">
        <v>79</v>
      </c>
      <c r="J21" s="10" t="s">
        <v>31</v>
      </c>
      <c r="K21" s="7">
        <v>842</v>
      </c>
      <c r="L21" s="52"/>
      <c r="M21" s="49"/>
      <c r="N21" s="5"/>
      <c r="O21" s="5"/>
      <c r="P21" s="5"/>
    </row>
    <row r="22" spans="1:16" ht="40.5" customHeight="1">
      <c r="A22" s="63"/>
      <c r="B22" s="53"/>
      <c r="C22" s="50"/>
      <c r="D22" s="64"/>
      <c r="E22" s="64"/>
      <c r="F22" s="64"/>
      <c r="G22" s="64"/>
      <c r="H22" s="64"/>
      <c r="I22" s="13" t="s">
        <v>80</v>
      </c>
      <c r="J22" s="10" t="s">
        <v>31</v>
      </c>
      <c r="K22" s="7">
        <v>574</v>
      </c>
      <c r="L22" s="52"/>
      <c r="M22" s="49"/>
      <c r="N22" s="5"/>
      <c r="O22" s="5"/>
      <c r="P22" s="5"/>
    </row>
    <row r="23" spans="1:16" ht="40.5" customHeight="1">
      <c r="A23" s="63"/>
      <c r="B23" s="53"/>
      <c r="C23" s="50"/>
      <c r="D23" s="64"/>
      <c r="E23" s="64"/>
      <c r="F23" s="64"/>
      <c r="G23" s="64"/>
      <c r="H23" s="64"/>
      <c r="I23" s="13" t="s">
        <v>81</v>
      </c>
      <c r="J23" s="10" t="s">
        <v>31</v>
      </c>
      <c r="K23" s="7">
        <v>558</v>
      </c>
      <c r="L23" s="52"/>
      <c r="M23" s="49"/>
      <c r="N23" s="5"/>
      <c r="O23" s="5"/>
      <c r="P23" s="5"/>
    </row>
    <row r="24" spans="1:16" ht="35.25" customHeight="1">
      <c r="A24" s="63"/>
      <c r="B24" s="53"/>
      <c r="C24" s="50" t="s">
        <v>27</v>
      </c>
      <c r="D24" s="64">
        <f>SUM(E24:H24)</f>
        <v>109961.7</v>
      </c>
      <c r="E24" s="64">
        <v>0</v>
      </c>
      <c r="F24" s="64">
        <v>109961.7</v>
      </c>
      <c r="G24" s="64">
        <v>0</v>
      </c>
      <c r="H24" s="64">
        <v>0</v>
      </c>
      <c r="I24" s="13" t="s">
        <v>79</v>
      </c>
      <c r="J24" s="10" t="s">
        <v>31</v>
      </c>
      <c r="K24" s="7">
        <v>842</v>
      </c>
      <c r="L24" s="52"/>
      <c r="M24" s="49"/>
      <c r="N24" s="5"/>
      <c r="O24" s="5"/>
      <c r="P24" s="5"/>
    </row>
    <row r="25" spans="1:16" ht="35.25" customHeight="1">
      <c r="A25" s="63"/>
      <c r="B25" s="53"/>
      <c r="C25" s="50"/>
      <c r="D25" s="64"/>
      <c r="E25" s="64"/>
      <c r="F25" s="64"/>
      <c r="G25" s="64"/>
      <c r="H25" s="64"/>
      <c r="I25" s="13" t="s">
        <v>80</v>
      </c>
      <c r="J25" s="10" t="s">
        <v>31</v>
      </c>
      <c r="K25" s="7">
        <v>574</v>
      </c>
      <c r="L25" s="52"/>
      <c r="M25" s="49"/>
      <c r="N25" s="5"/>
      <c r="O25" s="5"/>
      <c r="P25" s="5"/>
    </row>
    <row r="26" spans="1:16" ht="35.25" customHeight="1">
      <c r="A26" s="63"/>
      <c r="B26" s="53"/>
      <c r="C26" s="50"/>
      <c r="D26" s="64"/>
      <c r="E26" s="64"/>
      <c r="F26" s="64"/>
      <c r="G26" s="64"/>
      <c r="H26" s="64"/>
      <c r="I26" s="13" t="s">
        <v>81</v>
      </c>
      <c r="J26" s="10" t="s">
        <v>31</v>
      </c>
      <c r="K26" s="7">
        <v>558</v>
      </c>
      <c r="L26" s="52"/>
      <c r="M26" s="49"/>
      <c r="N26" s="5"/>
      <c r="O26" s="5"/>
      <c r="P26" s="5"/>
    </row>
    <row r="27" spans="1:16" ht="35.25" customHeight="1">
      <c r="A27" s="49" t="s">
        <v>28</v>
      </c>
      <c r="B27" s="53" t="s">
        <v>82</v>
      </c>
      <c r="C27" s="7" t="s">
        <v>21</v>
      </c>
      <c r="D27" s="12">
        <f t="shared" ref="D27:D47" si="1">SUM(E27:H27)</f>
        <v>10407.4</v>
      </c>
      <c r="E27" s="12">
        <v>0</v>
      </c>
      <c r="F27" s="12">
        <f>12323.6-1916.2</f>
        <v>10407.4</v>
      </c>
      <c r="G27" s="12">
        <v>0</v>
      </c>
      <c r="H27" s="12">
        <v>0</v>
      </c>
      <c r="I27" s="52" t="s">
        <v>83</v>
      </c>
      <c r="J27" s="53" t="s">
        <v>31</v>
      </c>
      <c r="K27" s="10">
        <v>4072</v>
      </c>
      <c r="L27" s="52" t="s">
        <v>24</v>
      </c>
      <c r="M27" s="49" t="s">
        <v>49</v>
      </c>
      <c r="N27" s="5"/>
      <c r="O27" s="5"/>
      <c r="P27" s="5"/>
    </row>
    <row r="28" spans="1:16" ht="35.25" customHeight="1">
      <c r="A28" s="49"/>
      <c r="B28" s="53"/>
      <c r="C28" s="7" t="s">
        <v>26</v>
      </c>
      <c r="D28" s="12">
        <f t="shared" si="1"/>
        <v>12323.6</v>
      </c>
      <c r="E28" s="12">
        <v>0</v>
      </c>
      <c r="F28" s="12">
        <v>12323.6</v>
      </c>
      <c r="G28" s="12">
        <v>0</v>
      </c>
      <c r="H28" s="12">
        <v>0</v>
      </c>
      <c r="I28" s="52"/>
      <c r="J28" s="53"/>
      <c r="K28" s="7">
        <v>4072</v>
      </c>
      <c r="L28" s="52"/>
      <c r="M28" s="49"/>
      <c r="N28" s="5"/>
      <c r="O28" s="5"/>
      <c r="P28" s="5"/>
    </row>
    <row r="29" spans="1:16" ht="35.25" customHeight="1">
      <c r="A29" s="49"/>
      <c r="B29" s="53"/>
      <c r="C29" s="7" t="s">
        <v>27</v>
      </c>
      <c r="D29" s="12">
        <f t="shared" si="1"/>
        <v>12323.6</v>
      </c>
      <c r="E29" s="12">
        <v>0</v>
      </c>
      <c r="F29" s="12">
        <v>12323.6</v>
      </c>
      <c r="G29" s="12">
        <v>0</v>
      </c>
      <c r="H29" s="12">
        <v>0</v>
      </c>
      <c r="I29" s="52"/>
      <c r="J29" s="53"/>
      <c r="K29" s="7">
        <v>4072</v>
      </c>
      <c r="L29" s="52"/>
      <c r="M29" s="49"/>
      <c r="N29" s="5"/>
      <c r="O29" s="5"/>
      <c r="P29" s="5"/>
    </row>
    <row r="30" spans="1:16" ht="33" customHeight="1">
      <c r="A30" s="49" t="s">
        <v>32</v>
      </c>
      <c r="B30" s="65" t="s">
        <v>84</v>
      </c>
      <c r="C30" s="7" t="s">
        <v>21</v>
      </c>
      <c r="D30" s="12">
        <f t="shared" si="1"/>
        <v>3224</v>
      </c>
      <c r="E30" s="12">
        <v>0</v>
      </c>
      <c r="F30" s="12">
        <f>1723.9+1500.1</f>
        <v>3224</v>
      </c>
      <c r="G30" s="12">
        <v>0</v>
      </c>
      <c r="H30" s="12">
        <v>0</v>
      </c>
      <c r="I30" s="66" t="s">
        <v>85</v>
      </c>
      <c r="J30" s="65" t="s">
        <v>31</v>
      </c>
      <c r="K30" s="7">
        <v>196</v>
      </c>
      <c r="L30" s="67" t="s">
        <v>24</v>
      </c>
      <c r="M30" s="49" t="s">
        <v>49</v>
      </c>
      <c r="N30" s="5"/>
      <c r="O30" s="5"/>
      <c r="P30" s="5"/>
    </row>
    <row r="31" spans="1:16" ht="33" customHeight="1">
      <c r="A31" s="49"/>
      <c r="B31" s="65"/>
      <c r="C31" s="7" t="s">
        <v>26</v>
      </c>
      <c r="D31" s="12">
        <f t="shared" si="1"/>
        <v>1802.2</v>
      </c>
      <c r="E31" s="12">
        <v>0</v>
      </c>
      <c r="F31" s="12">
        <v>1802.2</v>
      </c>
      <c r="G31" s="12">
        <v>0</v>
      </c>
      <c r="H31" s="12">
        <v>0</v>
      </c>
      <c r="I31" s="66"/>
      <c r="J31" s="65"/>
      <c r="K31" s="7">
        <v>198</v>
      </c>
      <c r="L31" s="67"/>
      <c r="M31" s="49"/>
      <c r="N31" s="5"/>
      <c r="O31" s="5"/>
      <c r="P31" s="5"/>
    </row>
    <row r="32" spans="1:16" ht="33" customHeight="1">
      <c r="A32" s="49"/>
      <c r="B32" s="65"/>
      <c r="C32" s="7" t="s">
        <v>27</v>
      </c>
      <c r="D32" s="12">
        <f t="shared" si="1"/>
        <v>1913.1</v>
      </c>
      <c r="E32" s="12">
        <v>0</v>
      </c>
      <c r="F32" s="12">
        <v>1913.1</v>
      </c>
      <c r="G32" s="12">
        <v>0</v>
      </c>
      <c r="H32" s="12">
        <v>0</v>
      </c>
      <c r="I32" s="66"/>
      <c r="J32" s="65"/>
      <c r="K32" s="7">
        <v>200</v>
      </c>
      <c r="L32" s="67"/>
      <c r="M32" s="49"/>
      <c r="N32" s="5"/>
      <c r="O32" s="5"/>
      <c r="P32" s="5"/>
    </row>
    <row r="33" spans="1:16" ht="27" customHeight="1">
      <c r="A33" s="49" t="s">
        <v>86</v>
      </c>
      <c r="B33" s="65" t="s">
        <v>87</v>
      </c>
      <c r="C33" s="7" t="s">
        <v>21</v>
      </c>
      <c r="D33" s="12">
        <f t="shared" si="1"/>
        <v>5300</v>
      </c>
      <c r="E33" s="12">
        <v>0</v>
      </c>
      <c r="F33" s="12">
        <v>5300</v>
      </c>
      <c r="G33" s="12">
        <v>0</v>
      </c>
      <c r="H33" s="12">
        <v>0</v>
      </c>
      <c r="I33" s="66" t="s">
        <v>88</v>
      </c>
      <c r="J33" s="65" t="s">
        <v>43</v>
      </c>
      <c r="K33" s="7" t="s">
        <v>46</v>
      </c>
      <c r="L33" s="67" t="s">
        <v>24</v>
      </c>
      <c r="M33" s="49" t="s">
        <v>49</v>
      </c>
      <c r="N33" s="5"/>
      <c r="O33" s="5"/>
      <c r="P33" s="5"/>
    </row>
    <row r="34" spans="1:16" ht="27" customHeight="1">
      <c r="A34" s="49"/>
      <c r="B34" s="65"/>
      <c r="C34" s="7" t="s">
        <v>26</v>
      </c>
      <c r="D34" s="12">
        <f t="shared" si="1"/>
        <v>0</v>
      </c>
      <c r="E34" s="12">
        <v>0</v>
      </c>
      <c r="F34" s="12">
        <v>0</v>
      </c>
      <c r="G34" s="12">
        <v>0</v>
      </c>
      <c r="H34" s="12">
        <v>0</v>
      </c>
      <c r="I34" s="66"/>
      <c r="J34" s="65"/>
      <c r="K34" s="7" t="s">
        <v>46</v>
      </c>
      <c r="L34" s="67"/>
      <c r="M34" s="49"/>
      <c r="N34" s="5"/>
      <c r="O34" s="5"/>
      <c r="P34" s="5"/>
    </row>
    <row r="35" spans="1:16" ht="27" customHeight="1">
      <c r="A35" s="49"/>
      <c r="B35" s="65"/>
      <c r="C35" s="7" t="s">
        <v>27</v>
      </c>
      <c r="D35" s="12">
        <f t="shared" si="1"/>
        <v>0</v>
      </c>
      <c r="E35" s="12">
        <v>0</v>
      </c>
      <c r="F35" s="12">
        <v>0</v>
      </c>
      <c r="G35" s="12">
        <v>0</v>
      </c>
      <c r="H35" s="12">
        <v>0</v>
      </c>
      <c r="I35" s="66"/>
      <c r="J35" s="65"/>
      <c r="K35" s="7" t="s">
        <v>46</v>
      </c>
      <c r="L35" s="67"/>
      <c r="M35" s="49"/>
      <c r="N35" s="5"/>
      <c r="O35" s="5"/>
      <c r="P35" s="5"/>
    </row>
    <row r="36" spans="1:16" ht="48" customHeight="1">
      <c r="A36" s="49" t="s">
        <v>89</v>
      </c>
      <c r="B36" s="53" t="s">
        <v>90</v>
      </c>
      <c r="C36" s="7" t="s">
        <v>21</v>
      </c>
      <c r="D36" s="12">
        <f t="shared" si="1"/>
        <v>14315.5</v>
      </c>
      <c r="E36" s="12">
        <v>0</v>
      </c>
      <c r="F36" s="12">
        <v>0</v>
      </c>
      <c r="G36" s="14">
        <f>13480.5-303.5-53.4+154+1037.9</f>
        <v>14315.5</v>
      </c>
      <c r="H36" s="12">
        <v>0</v>
      </c>
      <c r="I36" s="52" t="s">
        <v>91</v>
      </c>
      <c r="J36" s="53" t="s">
        <v>43</v>
      </c>
      <c r="K36" s="7">
        <v>21</v>
      </c>
      <c r="L36" s="52" t="s">
        <v>24</v>
      </c>
      <c r="M36" s="49" t="s">
        <v>49</v>
      </c>
      <c r="N36" s="5"/>
      <c r="O36" s="5"/>
      <c r="P36" s="5"/>
    </row>
    <row r="37" spans="1:16" ht="48" customHeight="1">
      <c r="A37" s="49"/>
      <c r="B37" s="53"/>
      <c r="C37" s="7" t="s">
        <v>26</v>
      </c>
      <c r="D37" s="12">
        <f t="shared" si="1"/>
        <v>0</v>
      </c>
      <c r="E37" s="12">
        <v>0</v>
      </c>
      <c r="F37" s="12">
        <v>0</v>
      </c>
      <c r="G37" s="12">
        <v>0</v>
      </c>
      <c r="H37" s="12">
        <v>0</v>
      </c>
      <c r="I37" s="52"/>
      <c r="J37" s="53"/>
      <c r="K37" s="7" t="s">
        <v>46</v>
      </c>
      <c r="L37" s="52"/>
      <c r="M37" s="49"/>
      <c r="N37" s="5"/>
      <c r="O37" s="5"/>
      <c r="P37" s="5"/>
    </row>
    <row r="38" spans="1:16" ht="60" customHeight="1">
      <c r="A38" s="49"/>
      <c r="B38" s="53"/>
      <c r="C38" s="7" t="s">
        <v>27</v>
      </c>
      <c r="D38" s="12">
        <f t="shared" si="1"/>
        <v>0</v>
      </c>
      <c r="E38" s="12">
        <v>0</v>
      </c>
      <c r="F38" s="12">
        <v>0</v>
      </c>
      <c r="G38" s="12">
        <v>0</v>
      </c>
      <c r="H38" s="12">
        <v>0</v>
      </c>
      <c r="I38" s="52"/>
      <c r="J38" s="53"/>
      <c r="K38" s="7" t="s">
        <v>46</v>
      </c>
      <c r="L38" s="52"/>
      <c r="M38" s="49"/>
      <c r="N38" s="5"/>
      <c r="O38" s="5"/>
      <c r="P38" s="5"/>
    </row>
    <row r="39" spans="1:16" ht="25.5" customHeight="1">
      <c r="A39" s="49" t="s">
        <v>92</v>
      </c>
      <c r="B39" s="53" t="s">
        <v>93</v>
      </c>
      <c r="C39" s="7" t="s">
        <v>21</v>
      </c>
      <c r="D39" s="12">
        <f t="shared" si="1"/>
        <v>2275</v>
      </c>
      <c r="E39" s="12">
        <v>0</v>
      </c>
      <c r="F39" s="12">
        <v>0</v>
      </c>
      <c r="G39" s="12">
        <v>2275</v>
      </c>
      <c r="H39" s="12">
        <v>0</v>
      </c>
      <c r="I39" s="52" t="s">
        <v>94</v>
      </c>
      <c r="J39" s="53" t="s">
        <v>43</v>
      </c>
      <c r="K39" s="10">
        <v>32</v>
      </c>
      <c r="L39" s="52" t="s">
        <v>24</v>
      </c>
      <c r="M39" s="49" t="s">
        <v>49</v>
      </c>
      <c r="N39" s="5"/>
      <c r="O39" s="5"/>
      <c r="P39" s="5"/>
    </row>
    <row r="40" spans="1:16" ht="25.5" customHeight="1">
      <c r="A40" s="49"/>
      <c r="B40" s="53"/>
      <c r="C40" s="7" t="s">
        <v>26</v>
      </c>
      <c r="D40" s="12">
        <f t="shared" si="1"/>
        <v>0</v>
      </c>
      <c r="E40" s="12">
        <v>0</v>
      </c>
      <c r="F40" s="12">
        <v>0</v>
      </c>
      <c r="G40" s="12">
        <v>0</v>
      </c>
      <c r="H40" s="12">
        <v>0</v>
      </c>
      <c r="I40" s="52"/>
      <c r="J40" s="53"/>
      <c r="K40" s="7" t="s">
        <v>46</v>
      </c>
      <c r="L40" s="52"/>
      <c r="M40" s="49"/>
      <c r="N40" s="5"/>
      <c r="O40" s="5"/>
      <c r="P40" s="5"/>
    </row>
    <row r="41" spans="1:16" ht="25.5" customHeight="1">
      <c r="A41" s="49"/>
      <c r="B41" s="53"/>
      <c r="C41" s="7" t="s">
        <v>27</v>
      </c>
      <c r="D41" s="12">
        <f t="shared" si="1"/>
        <v>0</v>
      </c>
      <c r="E41" s="12">
        <v>0</v>
      </c>
      <c r="F41" s="12">
        <v>0</v>
      </c>
      <c r="G41" s="12">
        <v>0</v>
      </c>
      <c r="H41" s="12">
        <v>0</v>
      </c>
      <c r="I41" s="52"/>
      <c r="J41" s="53"/>
      <c r="K41" s="7" t="s">
        <v>46</v>
      </c>
      <c r="L41" s="52"/>
      <c r="M41" s="49"/>
      <c r="N41" s="5"/>
      <c r="O41" s="5"/>
      <c r="P41" s="5"/>
    </row>
    <row r="42" spans="1:16" ht="33.75" customHeight="1">
      <c r="A42" s="49" t="s">
        <v>95</v>
      </c>
      <c r="B42" s="53" t="s">
        <v>96</v>
      </c>
      <c r="C42" s="7" t="s">
        <v>21</v>
      </c>
      <c r="D42" s="15">
        <f t="shared" si="1"/>
        <v>3000</v>
      </c>
      <c r="E42" s="15">
        <v>0</v>
      </c>
      <c r="F42" s="15">
        <v>0</v>
      </c>
      <c r="G42" s="15">
        <v>3000</v>
      </c>
      <c r="H42" s="15">
        <v>0</v>
      </c>
      <c r="I42" s="52" t="s">
        <v>97</v>
      </c>
      <c r="J42" s="53" t="s">
        <v>43</v>
      </c>
      <c r="K42" s="7">
        <v>1</v>
      </c>
      <c r="L42" s="52" t="s">
        <v>24</v>
      </c>
      <c r="M42" s="49" t="s">
        <v>49</v>
      </c>
      <c r="N42" s="5"/>
      <c r="O42" s="5"/>
      <c r="P42" s="5"/>
    </row>
    <row r="43" spans="1:16" ht="28.5" customHeight="1">
      <c r="A43" s="49"/>
      <c r="B43" s="53"/>
      <c r="C43" s="7" t="s">
        <v>26</v>
      </c>
      <c r="D43" s="15">
        <f t="shared" si="1"/>
        <v>0</v>
      </c>
      <c r="E43" s="15">
        <v>0</v>
      </c>
      <c r="F43" s="15">
        <v>0</v>
      </c>
      <c r="G43" s="15">
        <v>0</v>
      </c>
      <c r="H43" s="15">
        <v>0</v>
      </c>
      <c r="I43" s="52"/>
      <c r="J43" s="53"/>
      <c r="K43" s="7" t="s">
        <v>46</v>
      </c>
      <c r="L43" s="52"/>
      <c r="M43" s="49"/>
      <c r="N43" s="5"/>
      <c r="O43" s="5"/>
      <c r="P43" s="5"/>
    </row>
    <row r="44" spans="1:16" ht="28.5" customHeight="1">
      <c r="A44" s="49"/>
      <c r="B44" s="53"/>
      <c r="C44" s="7" t="s">
        <v>27</v>
      </c>
      <c r="D44" s="15">
        <f t="shared" si="1"/>
        <v>0</v>
      </c>
      <c r="E44" s="15">
        <v>0</v>
      </c>
      <c r="F44" s="15">
        <v>0</v>
      </c>
      <c r="G44" s="15">
        <v>0</v>
      </c>
      <c r="H44" s="15">
        <v>0</v>
      </c>
      <c r="I44" s="52"/>
      <c r="J44" s="53"/>
      <c r="K44" s="7" t="s">
        <v>46</v>
      </c>
      <c r="L44" s="52"/>
      <c r="M44" s="49"/>
      <c r="N44" s="5"/>
      <c r="O44" s="5"/>
      <c r="P44" s="5"/>
    </row>
    <row r="45" spans="1:16" ht="22.5" customHeight="1">
      <c r="A45" s="68" t="s">
        <v>35</v>
      </c>
      <c r="B45" s="68"/>
      <c r="C45" s="16" t="s">
        <v>21</v>
      </c>
      <c r="D45" s="17">
        <f t="shared" si="1"/>
        <v>1050546.3999999999</v>
      </c>
      <c r="E45" s="17">
        <f t="shared" ref="E45:H47" si="2">E12+E27+E30+E33+E36+E39+E42</f>
        <v>0</v>
      </c>
      <c r="F45" s="17">
        <f t="shared" si="2"/>
        <v>716606.9</v>
      </c>
      <c r="G45" s="17">
        <f t="shared" si="2"/>
        <v>266439.5</v>
      </c>
      <c r="H45" s="17">
        <f t="shared" si="2"/>
        <v>67500</v>
      </c>
      <c r="I45" s="54" t="s">
        <v>36</v>
      </c>
      <c r="J45" s="54" t="s">
        <v>36</v>
      </c>
      <c r="K45" s="54" t="s">
        <v>36</v>
      </c>
      <c r="L45" s="54" t="s">
        <v>36</v>
      </c>
      <c r="M45" s="54" t="s">
        <v>36</v>
      </c>
      <c r="N45" s="5"/>
      <c r="O45" s="5"/>
      <c r="P45" s="5"/>
    </row>
    <row r="46" spans="1:16" ht="22.5" customHeight="1">
      <c r="A46" s="68"/>
      <c r="B46" s="68"/>
      <c r="C46" s="16" t="s">
        <v>26</v>
      </c>
      <c r="D46" s="17">
        <f t="shared" si="1"/>
        <v>1040394.4999999999</v>
      </c>
      <c r="E46" s="17">
        <f t="shared" si="2"/>
        <v>0</v>
      </c>
      <c r="F46" s="17">
        <f t="shared" si="2"/>
        <v>743853.99999999988</v>
      </c>
      <c r="G46" s="17">
        <f t="shared" si="2"/>
        <v>229040.5</v>
      </c>
      <c r="H46" s="17">
        <f t="shared" si="2"/>
        <v>67500</v>
      </c>
      <c r="I46" s="54"/>
      <c r="J46" s="54"/>
      <c r="K46" s="54"/>
      <c r="L46" s="54"/>
      <c r="M46" s="54"/>
      <c r="N46" s="5"/>
      <c r="O46" s="5"/>
      <c r="P46" s="5"/>
    </row>
    <row r="47" spans="1:16" ht="22.5" customHeight="1">
      <c r="A47" s="68"/>
      <c r="B47" s="68"/>
      <c r="C47" s="16" t="s">
        <v>27</v>
      </c>
      <c r="D47" s="17">
        <f t="shared" si="1"/>
        <v>1087006.8999999999</v>
      </c>
      <c r="E47" s="17">
        <f t="shared" si="2"/>
        <v>0</v>
      </c>
      <c r="F47" s="17">
        <f t="shared" si="2"/>
        <v>790466.39999999991</v>
      </c>
      <c r="G47" s="17">
        <f t="shared" si="2"/>
        <v>229040.5</v>
      </c>
      <c r="H47" s="17">
        <f t="shared" si="2"/>
        <v>67500</v>
      </c>
      <c r="I47" s="54"/>
      <c r="J47" s="54"/>
      <c r="K47" s="54"/>
      <c r="L47" s="54"/>
      <c r="M47" s="54"/>
      <c r="N47" s="5"/>
      <c r="O47" s="5"/>
      <c r="P47" s="5"/>
    </row>
    <row r="48" spans="1:16" ht="45" customHeight="1">
      <c r="A48" s="62" t="s">
        <v>98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5"/>
      <c r="O48" s="5"/>
      <c r="P48" s="5"/>
    </row>
    <row r="49" spans="1:16" ht="19.5" customHeight="1">
      <c r="A49" s="49" t="s">
        <v>38</v>
      </c>
      <c r="B49" s="62" t="s">
        <v>99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5"/>
      <c r="O49" s="5"/>
      <c r="P49" s="5"/>
    </row>
    <row r="50" spans="1:16" ht="19.5" customHeight="1">
      <c r="A50" s="49"/>
      <c r="B50" s="62" t="s">
        <v>71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5"/>
      <c r="O50" s="5"/>
      <c r="P50" s="5"/>
    </row>
    <row r="51" spans="1:16" ht="33" customHeight="1">
      <c r="A51" s="49" t="s">
        <v>40</v>
      </c>
      <c r="B51" s="53" t="s">
        <v>100</v>
      </c>
      <c r="C51" s="7" t="s">
        <v>21</v>
      </c>
      <c r="D51" s="15">
        <f t="shared" ref="D51:D57" si="3">SUM(E51:H51)</f>
        <v>1111956.8</v>
      </c>
      <c r="E51" s="15">
        <f>E54+E57</f>
        <v>0</v>
      </c>
      <c r="F51" s="15">
        <f>F54+F57</f>
        <v>949380.60000000009</v>
      </c>
      <c r="G51" s="15">
        <f>G54+G57</f>
        <v>152576.19999999998</v>
      </c>
      <c r="H51" s="15">
        <f>H54+H57</f>
        <v>10000</v>
      </c>
      <c r="I51" s="52" t="s">
        <v>101</v>
      </c>
      <c r="J51" s="53" t="s">
        <v>46</v>
      </c>
      <c r="K51" s="7" t="s">
        <v>46</v>
      </c>
      <c r="L51" s="52" t="s">
        <v>46</v>
      </c>
      <c r="M51" s="49" t="s">
        <v>25</v>
      </c>
      <c r="N51" s="5"/>
      <c r="O51" s="5"/>
      <c r="P51" s="5"/>
    </row>
    <row r="52" spans="1:16" ht="21" customHeight="1">
      <c r="A52" s="49"/>
      <c r="B52" s="53"/>
      <c r="C52" s="7" t="s">
        <v>26</v>
      </c>
      <c r="D52" s="15">
        <f t="shared" si="3"/>
        <v>1153405.6000000001</v>
      </c>
      <c r="E52" s="15">
        <f>E55+E63</f>
        <v>0</v>
      </c>
      <c r="F52" s="15">
        <f>F55+F63</f>
        <v>1003400.6</v>
      </c>
      <c r="G52" s="15">
        <f>G55+G63</f>
        <v>140005</v>
      </c>
      <c r="H52" s="15">
        <f>H55+H63</f>
        <v>10000</v>
      </c>
      <c r="I52" s="52"/>
      <c r="J52" s="53"/>
      <c r="K52" s="7" t="s">
        <v>46</v>
      </c>
      <c r="L52" s="52"/>
      <c r="M52" s="49"/>
      <c r="N52" s="5"/>
      <c r="O52" s="5"/>
      <c r="P52" s="5"/>
    </row>
    <row r="53" spans="1:16" ht="25.5" customHeight="1">
      <c r="A53" s="49"/>
      <c r="B53" s="53"/>
      <c r="C53" s="7" t="s">
        <v>27</v>
      </c>
      <c r="D53" s="15">
        <f t="shared" si="3"/>
        <v>1178775.2000000002</v>
      </c>
      <c r="E53" s="15">
        <f>E56+E69</f>
        <v>0</v>
      </c>
      <c r="F53" s="15">
        <f>F56+F69</f>
        <v>1028770.2000000001</v>
      </c>
      <c r="G53" s="15">
        <f>G56+G69</f>
        <v>140005</v>
      </c>
      <c r="H53" s="15">
        <f>H56+H69</f>
        <v>10000</v>
      </c>
      <c r="I53" s="52"/>
      <c r="J53" s="53"/>
      <c r="K53" s="7" t="s">
        <v>46</v>
      </c>
      <c r="L53" s="52"/>
      <c r="M53" s="49"/>
      <c r="N53" s="5"/>
      <c r="O53" s="5"/>
      <c r="P53" s="5"/>
    </row>
    <row r="54" spans="1:16" ht="30.75" customHeight="1">
      <c r="A54" s="49" t="s">
        <v>47</v>
      </c>
      <c r="B54" s="53" t="s">
        <v>75</v>
      </c>
      <c r="C54" s="7" t="s">
        <v>21</v>
      </c>
      <c r="D54" s="15">
        <f t="shared" si="3"/>
        <v>921073</v>
      </c>
      <c r="E54" s="15">
        <v>0</v>
      </c>
      <c r="F54" s="15">
        <f>688978.8+422.3+793.1+70308.7-2006.1</f>
        <v>758496.8</v>
      </c>
      <c r="G54" s="15">
        <f>140005+2718.6+5520.8+1615+2716.8</f>
        <v>152576.19999999998</v>
      </c>
      <c r="H54" s="15">
        <v>10000</v>
      </c>
      <c r="I54" s="52" t="s">
        <v>102</v>
      </c>
      <c r="J54" s="53" t="s">
        <v>31</v>
      </c>
      <c r="K54" s="7">
        <v>13710</v>
      </c>
      <c r="L54" s="52" t="s">
        <v>24</v>
      </c>
      <c r="M54" s="49" t="s">
        <v>25</v>
      </c>
      <c r="N54" s="5"/>
      <c r="O54" s="5"/>
      <c r="P54" s="5"/>
    </row>
    <row r="55" spans="1:16" ht="30.75" customHeight="1">
      <c r="A55" s="49"/>
      <c r="B55" s="53"/>
      <c r="C55" s="7" t="s">
        <v>26</v>
      </c>
      <c r="D55" s="15">
        <f t="shared" si="3"/>
        <v>961790.7</v>
      </c>
      <c r="E55" s="15">
        <v>0</v>
      </c>
      <c r="F55" s="15">
        <f>740567.4-833.4+582.2+71469.5</f>
        <v>811785.7</v>
      </c>
      <c r="G55" s="15">
        <v>140005</v>
      </c>
      <c r="H55" s="15">
        <v>10000</v>
      </c>
      <c r="I55" s="52"/>
      <c r="J55" s="53"/>
      <c r="K55" s="7">
        <v>13715</v>
      </c>
      <c r="L55" s="52"/>
      <c r="M55" s="49"/>
      <c r="N55" s="5"/>
      <c r="O55" s="5"/>
      <c r="P55" s="5"/>
    </row>
    <row r="56" spans="1:16" ht="30.75" customHeight="1">
      <c r="A56" s="49"/>
      <c r="B56" s="53"/>
      <c r="C56" s="7" t="s">
        <v>27</v>
      </c>
      <c r="D56" s="15">
        <f t="shared" si="3"/>
        <v>986574.9</v>
      </c>
      <c r="E56" s="15">
        <v>0</v>
      </c>
      <c r="F56" s="15">
        <f>757505.8-455.5+8050.1+71469.5</f>
        <v>836569.9</v>
      </c>
      <c r="G56" s="15">
        <v>140005</v>
      </c>
      <c r="H56" s="15">
        <v>10000</v>
      </c>
      <c r="I56" s="52"/>
      <c r="J56" s="53"/>
      <c r="K56" s="7">
        <v>13720</v>
      </c>
      <c r="L56" s="52"/>
      <c r="M56" s="49"/>
      <c r="N56" s="5"/>
      <c r="O56" s="5"/>
      <c r="P56" s="5"/>
    </row>
    <row r="57" spans="1:16" ht="40.5" customHeight="1">
      <c r="A57" s="49" t="s">
        <v>50</v>
      </c>
      <c r="B57" s="53" t="s">
        <v>78</v>
      </c>
      <c r="C57" s="50" t="s">
        <v>21</v>
      </c>
      <c r="D57" s="69">
        <f t="shared" si="3"/>
        <v>190883.80000000002</v>
      </c>
      <c r="E57" s="69">
        <v>0</v>
      </c>
      <c r="F57" s="69">
        <f>191542.1-422.3-236</f>
        <v>190883.80000000002</v>
      </c>
      <c r="G57" s="69">
        <v>0</v>
      </c>
      <c r="H57" s="69">
        <v>0</v>
      </c>
      <c r="I57" s="13" t="s">
        <v>79</v>
      </c>
      <c r="J57" s="10" t="s">
        <v>31</v>
      </c>
      <c r="K57" s="7">
        <v>805</v>
      </c>
      <c r="L57" s="52" t="s">
        <v>24</v>
      </c>
      <c r="M57" s="49" t="s">
        <v>25</v>
      </c>
      <c r="N57" s="5"/>
      <c r="O57" s="5"/>
      <c r="P57" s="5"/>
    </row>
    <row r="58" spans="1:16" ht="89.25" customHeight="1">
      <c r="A58" s="49"/>
      <c r="B58" s="53"/>
      <c r="C58" s="50"/>
      <c r="D58" s="69"/>
      <c r="E58" s="69"/>
      <c r="F58" s="69"/>
      <c r="G58" s="69"/>
      <c r="H58" s="69"/>
      <c r="I58" s="18" t="s">
        <v>103</v>
      </c>
      <c r="J58" s="10" t="s">
        <v>31</v>
      </c>
      <c r="K58" s="7">
        <v>50</v>
      </c>
      <c r="L58" s="52"/>
      <c r="M58" s="49"/>
      <c r="N58" s="5"/>
      <c r="O58" s="5"/>
      <c r="P58" s="5"/>
    </row>
    <row r="59" spans="1:16" ht="29.25" customHeight="1">
      <c r="A59" s="49"/>
      <c r="B59" s="53"/>
      <c r="C59" s="50"/>
      <c r="D59" s="69"/>
      <c r="E59" s="69"/>
      <c r="F59" s="69"/>
      <c r="G59" s="69"/>
      <c r="H59" s="69"/>
      <c r="I59" s="13" t="s">
        <v>104</v>
      </c>
      <c r="J59" s="10" t="s">
        <v>31</v>
      </c>
      <c r="K59" s="7">
        <v>696</v>
      </c>
      <c r="L59" s="52"/>
      <c r="M59" s="49"/>
      <c r="N59" s="5"/>
      <c r="O59" s="5"/>
      <c r="P59" s="5"/>
    </row>
    <row r="60" spans="1:16" ht="39.75" customHeight="1">
      <c r="A60" s="49"/>
      <c r="B60" s="53"/>
      <c r="C60" s="50"/>
      <c r="D60" s="69"/>
      <c r="E60" s="69"/>
      <c r="F60" s="69"/>
      <c r="G60" s="69"/>
      <c r="H60" s="69"/>
      <c r="I60" s="13" t="s">
        <v>105</v>
      </c>
      <c r="J60" s="10" t="s">
        <v>31</v>
      </c>
      <c r="K60" s="7">
        <v>566</v>
      </c>
      <c r="L60" s="52"/>
      <c r="M60" s="49"/>
      <c r="N60" s="5"/>
      <c r="O60" s="5"/>
      <c r="P60" s="5"/>
    </row>
    <row r="61" spans="1:16" ht="39.75" customHeight="1">
      <c r="A61" s="49"/>
      <c r="B61" s="53"/>
      <c r="C61" s="50"/>
      <c r="D61" s="69"/>
      <c r="E61" s="69"/>
      <c r="F61" s="69"/>
      <c r="G61" s="69"/>
      <c r="H61" s="69"/>
      <c r="I61" s="13" t="s">
        <v>106</v>
      </c>
      <c r="J61" s="10" t="s">
        <v>31</v>
      </c>
      <c r="K61" s="7">
        <v>684</v>
      </c>
      <c r="L61" s="52"/>
      <c r="M61" s="49"/>
      <c r="N61" s="5"/>
      <c r="O61" s="5"/>
      <c r="P61" s="5"/>
    </row>
    <row r="62" spans="1:16" ht="87" customHeight="1">
      <c r="A62" s="49"/>
      <c r="B62" s="53"/>
      <c r="C62" s="50"/>
      <c r="D62" s="69"/>
      <c r="E62" s="69"/>
      <c r="F62" s="69"/>
      <c r="G62" s="69"/>
      <c r="H62" s="69"/>
      <c r="I62" s="13" t="s">
        <v>107</v>
      </c>
      <c r="J62" s="10" t="s">
        <v>43</v>
      </c>
      <c r="K62" s="7">
        <v>25</v>
      </c>
      <c r="L62" s="52"/>
      <c r="M62" s="49"/>
      <c r="N62" s="5"/>
      <c r="O62" s="5"/>
      <c r="P62" s="5"/>
    </row>
    <row r="63" spans="1:16" ht="42" customHeight="1">
      <c r="A63" s="49"/>
      <c r="B63" s="53"/>
      <c r="C63" s="50" t="s">
        <v>26</v>
      </c>
      <c r="D63" s="69">
        <f>SUM(E63:H63)</f>
        <v>191614.9</v>
      </c>
      <c r="E63" s="69">
        <v>0</v>
      </c>
      <c r="F63" s="69">
        <f>191267.4+833.4-485.9</f>
        <v>191614.9</v>
      </c>
      <c r="G63" s="69">
        <v>0</v>
      </c>
      <c r="H63" s="69">
        <v>0</v>
      </c>
      <c r="I63" s="13" t="s">
        <v>79</v>
      </c>
      <c r="J63" s="10" t="s">
        <v>31</v>
      </c>
      <c r="K63" s="7">
        <v>805</v>
      </c>
      <c r="L63" s="52"/>
      <c r="M63" s="49"/>
      <c r="N63" s="5"/>
      <c r="O63" s="5"/>
      <c r="P63" s="5"/>
    </row>
    <row r="64" spans="1:16" ht="86.25" customHeight="1">
      <c r="A64" s="49"/>
      <c r="B64" s="53"/>
      <c r="C64" s="50"/>
      <c r="D64" s="69"/>
      <c r="E64" s="69"/>
      <c r="F64" s="69"/>
      <c r="G64" s="69"/>
      <c r="H64" s="69"/>
      <c r="I64" s="18" t="s">
        <v>103</v>
      </c>
      <c r="J64" s="10" t="s">
        <v>31</v>
      </c>
      <c r="K64" s="7">
        <v>50</v>
      </c>
      <c r="L64" s="52"/>
      <c r="M64" s="49"/>
      <c r="N64" s="5"/>
      <c r="O64" s="5"/>
      <c r="P64" s="5"/>
    </row>
    <row r="65" spans="1:16" ht="30" customHeight="1">
      <c r="A65" s="49"/>
      <c r="B65" s="53"/>
      <c r="C65" s="50"/>
      <c r="D65" s="69"/>
      <c r="E65" s="69"/>
      <c r="F65" s="69"/>
      <c r="G65" s="69"/>
      <c r="H65" s="69"/>
      <c r="I65" s="13" t="s">
        <v>104</v>
      </c>
      <c r="J65" s="10" t="s">
        <v>31</v>
      </c>
      <c r="K65" s="7">
        <v>696</v>
      </c>
      <c r="L65" s="52"/>
      <c r="M65" s="49"/>
      <c r="N65" s="5"/>
      <c r="O65" s="5"/>
      <c r="P65" s="5"/>
    </row>
    <row r="66" spans="1:16" ht="36" customHeight="1">
      <c r="A66" s="49"/>
      <c r="B66" s="53"/>
      <c r="C66" s="50"/>
      <c r="D66" s="69"/>
      <c r="E66" s="69"/>
      <c r="F66" s="69"/>
      <c r="G66" s="69"/>
      <c r="H66" s="69"/>
      <c r="I66" s="13" t="s">
        <v>105</v>
      </c>
      <c r="J66" s="10" t="s">
        <v>31</v>
      </c>
      <c r="K66" s="7">
        <v>566</v>
      </c>
      <c r="L66" s="52"/>
      <c r="M66" s="49"/>
      <c r="N66" s="5"/>
      <c r="O66" s="5"/>
      <c r="P66" s="5"/>
    </row>
    <row r="67" spans="1:16" ht="36.75" customHeight="1">
      <c r="A67" s="49"/>
      <c r="B67" s="53"/>
      <c r="C67" s="50"/>
      <c r="D67" s="69"/>
      <c r="E67" s="69"/>
      <c r="F67" s="69"/>
      <c r="G67" s="69"/>
      <c r="H67" s="69"/>
      <c r="I67" s="13" t="s">
        <v>106</v>
      </c>
      <c r="J67" s="10" t="s">
        <v>31</v>
      </c>
      <c r="K67" s="7">
        <v>684</v>
      </c>
      <c r="L67" s="52"/>
      <c r="M67" s="49"/>
      <c r="N67" s="5"/>
      <c r="O67" s="5"/>
      <c r="P67" s="5"/>
    </row>
    <row r="68" spans="1:16" ht="90" customHeight="1">
      <c r="A68" s="49"/>
      <c r="B68" s="53"/>
      <c r="C68" s="50"/>
      <c r="D68" s="69"/>
      <c r="E68" s="69"/>
      <c r="F68" s="69"/>
      <c r="G68" s="69"/>
      <c r="H68" s="69"/>
      <c r="I68" s="13" t="s">
        <v>107</v>
      </c>
      <c r="J68" s="10" t="s">
        <v>43</v>
      </c>
      <c r="K68" s="7">
        <v>25</v>
      </c>
      <c r="L68" s="52"/>
      <c r="M68" s="49"/>
      <c r="N68" s="5"/>
      <c r="O68" s="5"/>
      <c r="P68" s="5"/>
    </row>
    <row r="69" spans="1:16" ht="40.5" customHeight="1">
      <c r="A69" s="49"/>
      <c r="B69" s="53"/>
      <c r="C69" s="50" t="s">
        <v>27</v>
      </c>
      <c r="D69" s="69">
        <f>SUM(E69:H69)</f>
        <v>192200.30000000002</v>
      </c>
      <c r="E69" s="69">
        <v>0</v>
      </c>
      <c r="F69" s="69">
        <f>192230.7+455.5-485.9</f>
        <v>192200.30000000002</v>
      </c>
      <c r="G69" s="69">
        <v>0</v>
      </c>
      <c r="H69" s="69">
        <v>0</v>
      </c>
      <c r="I69" s="13" t="s">
        <v>79</v>
      </c>
      <c r="J69" s="10" t="s">
        <v>31</v>
      </c>
      <c r="K69" s="7">
        <v>805</v>
      </c>
      <c r="L69" s="52"/>
      <c r="M69" s="49"/>
      <c r="N69" s="5"/>
      <c r="O69" s="5"/>
      <c r="P69" s="5"/>
    </row>
    <row r="70" spans="1:16" ht="90.75" customHeight="1">
      <c r="A70" s="49"/>
      <c r="B70" s="53"/>
      <c r="C70" s="50"/>
      <c r="D70" s="69"/>
      <c r="E70" s="69"/>
      <c r="F70" s="69"/>
      <c r="G70" s="69"/>
      <c r="H70" s="69"/>
      <c r="I70" s="18" t="s">
        <v>103</v>
      </c>
      <c r="J70" s="10" t="s">
        <v>31</v>
      </c>
      <c r="K70" s="7">
        <v>50</v>
      </c>
      <c r="L70" s="52"/>
      <c r="M70" s="49"/>
      <c r="N70" s="5"/>
      <c r="O70" s="5"/>
      <c r="P70" s="5"/>
    </row>
    <row r="71" spans="1:16" ht="30" customHeight="1">
      <c r="A71" s="49"/>
      <c r="B71" s="53"/>
      <c r="C71" s="50"/>
      <c r="D71" s="69"/>
      <c r="E71" s="69"/>
      <c r="F71" s="69"/>
      <c r="G71" s="69"/>
      <c r="H71" s="69"/>
      <c r="I71" s="13" t="s">
        <v>104</v>
      </c>
      <c r="J71" s="10" t="s">
        <v>31</v>
      </c>
      <c r="K71" s="7">
        <v>696</v>
      </c>
      <c r="L71" s="52"/>
      <c r="M71" s="49"/>
      <c r="N71" s="5"/>
      <c r="O71" s="5"/>
      <c r="P71" s="5"/>
    </row>
    <row r="72" spans="1:16" ht="37.5" customHeight="1">
      <c r="A72" s="49"/>
      <c r="B72" s="53"/>
      <c r="C72" s="50"/>
      <c r="D72" s="69"/>
      <c r="E72" s="69"/>
      <c r="F72" s="69"/>
      <c r="G72" s="69"/>
      <c r="H72" s="69"/>
      <c r="I72" s="13" t="s">
        <v>105</v>
      </c>
      <c r="J72" s="10" t="s">
        <v>31</v>
      </c>
      <c r="K72" s="7">
        <v>566</v>
      </c>
      <c r="L72" s="52"/>
      <c r="M72" s="49"/>
      <c r="N72" s="5"/>
      <c r="O72" s="5"/>
      <c r="P72" s="5"/>
    </row>
    <row r="73" spans="1:16" ht="36.75" customHeight="1">
      <c r="A73" s="49"/>
      <c r="B73" s="53"/>
      <c r="C73" s="50"/>
      <c r="D73" s="69"/>
      <c r="E73" s="69"/>
      <c r="F73" s="69"/>
      <c r="G73" s="69"/>
      <c r="H73" s="69"/>
      <c r="I73" s="13" t="s">
        <v>106</v>
      </c>
      <c r="J73" s="10" t="s">
        <v>31</v>
      </c>
      <c r="K73" s="7">
        <v>684</v>
      </c>
      <c r="L73" s="52"/>
      <c r="M73" s="49"/>
      <c r="N73" s="5"/>
      <c r="O73" s="5"/>
      <c r="P73" s="5"/>
    </row>
    <row r="74" spans="1:16" ht="85.5" customHeight="1">
      <c r="A74" s="49"/>
      <c r="B74" s="53"/>
      <c r="C74" s="50"/>
      <c r="D74" s="69"/>
      <c r="E74" s="69"/>
      <c r="F74" s="69"/>
      <c r="G74" s="69"/>
      <c r="H74" s="69"/>
      <c r="I74" s="13" t="s">
        <v>107</v>
      </c>
      <c r="J74" s="10" t="s">
        <v>43</v>
      </c>
      <c r="K74" s="7">
        <v>25</v>
      </c>
      <c r="L74" s="52"/>
      <c r="M74" s="49"/>
      <c r="N74" s="5"/>
      <c r="O74" s="5"/>
      <c r="P74" s="5"/>
    </row>
    <row r="75" spans="1:16" ht="30" customHeight="1">
      <c r="A75" s="49" t="s">
        <v>54</v>
      </c>
      <c r="B75" s="53" t="s">
        <v>108</v>
      </c>
      <c r="C75" s="7" t="s">
        <v>21</v>
      </c>
      <c r="D75" s="15">
        <f t="shared" ref="D75:D120" si="4">SUM(E75:H75)</f>
        <v>1687.4</v>
      </c>
      <c r="E75" s="15">
        <v>0</v>
      </c>
      <c r="F75" s="15">
        <v>0</v>
      </c>
      <c r="G75" s="15">
        <v>1687.4</v>
      </c>
      <c r="H75" s="15">
        <v>0</v>
      </c>
      <c r="I75" s="52" t="s">
        <v>109</v>
      </c>
      <c r="J75" s="53" t="s">
        <v>31</v>
      </c>
      <c r="K75" s="7">
        <v>50</v>
      </c>
      <c r="L75" s="52" t="s">
        <v>24</v>
      </c>
      <c r="M75" s="49" t="s">
        <v>25</v>
      </c>
      <c r="N75" s="5"/>
      <c r="O75" s="5"/>
      <c r="P75" s="5"/>
    </row>
    <row r="76" spans="1:16" ht="30" customHeight="1">
      <c r="A76" s="49"/>
      <c r="B76" s="53"/>
      <c r="C76" s="7" t="s">
        <v>26</v>
      </c>
      <c r="D76" s="15">
        <f t="shared" si="4"/>
        <v>1687.4</v>
      </c>
      <c r="E76" s="15">
        <v>0</v>
      </c>
      <c r="F76" s="15">
        <v>0</v>
      </c>
      <c r="G76" s="15">
        <v>1687.4</v>
      </c>
      <c r="H76" s="15">
        <v>0</v>
      </c>
      <c r="I76" s="52"/>
      <c r="J76" s="53"/>
      <c r="K76" s="7">
        <v>50</v>
      </c>
      <c r="L76" s="52"/>
      <c r="M76" s="49"/>
      <c r="N76" s="5"/>
      <c r="O76" s="5"/>
      <c r="P76" s="5"/>
    </row>
    <row r="77" spans="1:16" ht="30" customHeight="1">
      <c r="A77" s="49"/>
      <c r="B77" s="53"/>
      <c r="C77" s="7" t="s">
        <v>27</v>
      </c>
      <c r="D77" s="15">
        <f t="shared" si="4"/>
        <v>1687.4</v>
      </c>
      <c r="E77" s="15">
        <v>0</v>
      </c>
      <c r="F77" s="15">
        <v>0</v>
      </c>
      <c r="G77" s="15">
        <v>1687.4</v>
      </c>
      <c r="H77" s="15">
        <v>0</v>
      </c>
      <c r="I77" s="52"/>
      <c r="J77" s="53"/>
      <c r="K77" s="7">
        <v>50</v>
      </c>
      <c r="L77" s="52"/>
      <c r="M77" s="49"/>
      <c r="N77" s="5"/>
      <c r="O77" s="5"/>
      <c r="P77" s="5"/>
    </row>
    <row r="78" spans="1:16" ht="39" customHeight="1">
      <c r="A78" s="49" t="s">
        <v>110</v>
      </c>
      <c r="B78" s="53" t="s">
        <v>111</v>
      </c>
      <c r="C78" s="7" t="s">
        <v>21</v>
      </c>
      <c r="D78" s="15">
        <f t="shared" si="4"/>
        <v>830.7</v>
      </c>
      <c r="E78" s="15">
        <v>0</v>
      </c>
      <c r="F78" s="15">
        <v>0</v>
      </c>
      <c r="G78" s="15">
        <v>830.7</v>
      </c>
      <c r="H78" s="15">
        <v>0</v>
      </c>
      <c r="I78" s="52" t="s">
        <v>112</v>
      </c>
      <c r="J78" s="53" t="s">
        <v>31</v>
      </c>
      <c r="K78" s="7">
        <v>37</v>
      </c>
      <c r="L78" s="52" t="s">
        <v>24</v>
      </c>
      <c r="M78" s="49" t="s">
        <v>25</v>
      </c>
      <c r="N78" s="5"/>
      <c r="O78" s="5"/>
      <c r="P78" s="5"/>
    </row>
    <row r="79" spans="1:16" ht="39" customHeight="1">
      <c r="A79" s="49"/>
      <c r="B79" s="53"/>
      <c r="C79" s="7" t="s">
        <v>26</v>
      </c>
      <c r="D79" s="15">
        <f t="shared" si="4"/>
        <v>830.7</v>
      </c>
      <c r="E79" s="15">
        <v>0</v>
      </c>
      <c r="F79" s="15">
        <v>0</v>
      </c>
      <c r="G79" s="15">
        <v>830.7</v>
      </c>
      <c r="H79" s="15">
        <v>0</v>
      </c>
      <c r="I79" s="52"/>
      <c r="J79" s="53"/>
      <c r="K79" s="7">
        <v>37</v>
      </c>
      <c r="L79" s="52"/>
      <c r="M79" s="49"/>
      <c r="N79" s="5"/>
      <c r="O79" s="5"/>
      <c r="P79" s="5"/>
    </row>
    <row r="80" spans="1:16" ht="43.5" customHeight="1">
      <c r="A80" s="49"/>
      <c r="B80" s="53"/>
      <c r="C80" s="7" t="s">
        <v>27</v>
      </c>
      <c r="D80" s="15">
        <f t="shared" si="4"/>
        <v>830.7</v>
      </c>
      <c r="E80" s="15">
        <v>0</v>
      </c>
      <c r="F80" s="15">
        <v>0</v>
      </c>
      <c r="G80" s="15">
        <v>830.7</v>
      </c>
      <c r="H80" s="15">
        <v>0</v>
      </c>
      <c r="I80" s="52"/>
      <c r="J80" s="53"/>
      <c r="K80" s="7">
        <v>37</v>
      </c>
      <c r="L80" s="52"/>
      <c r="M80" s="49"/>
      <c r="N80" s="5"/>
      <c r="O80" s="5"/>
      <c r="P80" s="5"/>
    </row>
    <row r="81" spans="1:18" ht="27" customHeight="1">
      <c r="A81" s="49" t="s">
        <v>113</v>
      </c>
      <c r="B81" s="53" t="s">
        <v>114</v>
      </c>
      <c r="C81" s="7" t="s">
        <v>21</v>
      </c>
      <c r="D81" s="15">
        <f t="shared" si="4"/>
        <v>170352</v>
      </c>
      <c r="E81" s="15">
        <f t="shared" ref="E81:H83" si="5">E84+E87+E90+E93+E96+E99+E108</f>
        <v>49142.5</v>
      </c>
      <c r="F81" s="15">
        <f t="shared" si="5"/>
        <v>65484.600000000006</v>
      </c>
      <c r="G81" s="15">
        <f t="shared" si="5"/>
        <v>55724.9</v>
      </c>
      <c r="H81" s="15">
        <f t="shared" si="5"/>
        <v>0</v>
      </c>
      <c r="I81" s="50" t="s">
        <v>115</v>
      </c>
      <c r="J81" s="53" t="s">
        <v>46</v>
      </c>
      <c r="K81" s="7" t="s">
        <v>46</v>
      </c>
      <c r="L81" s="70" t="s">
        <v>46</v>
      </c>
      <c r="M81" s="49" t="s">
        <v>25</v>
      </c>
      <c r="N81" s="5"/>
      <c r="O81" s="5"/>
      <c r="P81" s="5"/>
    </row>
    <row r="82" spans="1:18" ht="27" customHeight="1">
      <c r="A82" s="49"/>
      <c r="B82" s="53"/>
      <c r="C82" s="7" t="s">
        <v>26</v>
      </c>
      <c r="D82" s="15">
        <f t="shared" si="4"/>
        <v>181654.8</v>
      </c>
      <c r="E82" s="15">
        <f t="shared" si="5"/>
        <v>47411.6</v>
      </c>
      <c r="F82" s="15">
        <f t="shared" si="5"/>
        <v>74624.7</v>
      </c>
      <c r="G82" s="15">
        <f t="shared" si="5"/>
        <v>59618.5</v>
      </c>
      <c r="H82" s="15">
        <f t="shared" si="5"/>
        <v>0</v>
      </c>
      <c r="I82" s="50"/>
      <c r="J82" s="53"/>
      <c r="K82" s="7" t="s">
        <v>46</v>
      </c>
      <c r="L82" s="70"/>
      <c r="M82" s="49"/>
      <c r="N82" s="5"/>
      <c r="O82" s="5"/>
      <c r="P82" s="5"/>
    </row>
    <row r="83" spans="1:18" ht="27" customHeight="1">
      <c r="A83" s="49"/>
      <c r="B83" s="53"/>
      <c r="C83" s="7" t="s">
        <v>27</v>
      </c>
      <c r="D83" s="15">
        <f t="shared" si="4"/>
        <v>184443.9</v>
      </c>
      <c r="E83" s="15">
        <f t="shared" si="5"/>
        <v>47334.400000000001</v>
      </c>
      <c r="F83" s="15">
        <f t="shared" si="5"/>
        <v>77045.599999999991</v>
      </c>
      <c r="G83" s="15">
        <f t="shared" si="5"/>
        <v>60063.9</v>
      </c>
      <c r="H83" s="15">
        <f t="shared" si="5"/>
        <v>0</v>
      </c>
      <c r="I83" s="50"/>
      <c r="J83" s="53"/>
      <c r="K83" s="7" t="s">
        <v>46</v>
      </c>
      <c r="L83" s="70"/>
      <c r="M83" s="49"/>
      <c r="N83" s="5"/>
      <c r="O83" s="5"/>
      <c r="P83" s="5"/>
    </row>
    <row r="84" spans="1:18" ht="27" customHeight="1">
      <c r="A84" s="49" t="s">
        <v>116</v>
      </c>
      <c r="B84" s="53" t="s">
        <v>117</v>
      </c>
      <c r="C84" s="7" t="s">
        <v>21</v>
      </c>
      <c r="D84" s="15">
        <f t="shared" si="4"/>
        <v>13550</v>
      </c>
      <c r="E84" s="15">
        <v>0</v>
      </c>
      <c r="F84" s="15">
        <v>0</v>
      </c>
      <c r="G84" s="15">
        <v>13550</v>
      </c>
      <c r="H84" s="15">
        <v>0</v>
      </c>
      <c r="I84" s="52" t="s">
        <v>118</v>
      </c>
      <c r="J84" s="53" t="s">
        <v>23</v>
      </c>
      <c r="K84" s="7">
        <v>100</v>
      </c>
      <c r="L84" s="52" t="s">
        <v>24</v>
      </c>
      <c r="M84" s="49" t="s">
        <v>25</v>
      </c>
      <c r="N84" s="5"/>
      <c r="O84" s="5"/>
      <c r="P84" s="5"/>
    </row>
    <row r="85" spans="1:18" ht="27" customHeight="1">
      <c r="A85" s="49"/>
      <c r="B85" s="53"/>
      <c r="C85" s="7" t="s">
        <v>26</v>
      </c>
      <c r="D85" s="15">
        <f t="shared" si="4"/>
        <v>13550</v>
      </c>
      <c r="E85" s="15">
        <v>0</v>
      </c>
      <c r="F85" s="15">
        <v>0</v>
      </c>
      <c r="G85" s="15">
        <v>13550</v>
      </c>
      <c r="H85" s="15">
        <v>0</v>
      </c>
      <c r="I85" s="52"/>
      <c r="J85" s="53"/>
      <c r="K85" s="7">
        <v>100</v>
      </c>
      <c r="L85" s="52"/>
      <c r="M85" s="49"/>
      <c r="N85" s="5"/>
      <c r="O85" s="5"/>
      <c r="P85" s="5"/>
    </row>
    <row r="86" spans="1:18" ht="27" customHeight="1">
      <c r="A86" s="49"/>
      <c r="B86" s="53"/>
      <c r="C86" s="7" t="s">
        <v>27</v>
      </c>
      <c r="D86" s="15">
        <f t="shared" si="4"/>
        <v>13550</v>
      </c>
      <c r="E86" s="15">
        <v>0</v>
      </c>
      <c r="F86" s="15">
        <v>0</v>
      </c>
      <c r="G86" s="15">
        <v>13550</v>
      </c>
      <c r="H86" s="15">
        <v>0</v>
      </c>
      <c r="I86" s="52"/>
      <c r="J86" s="53"/>
      <c r="K86" s="7">
        <v>100</v>
      </c>
      <c r="L86" s="52"/>
      <c r="M86" s="49"/>
      <c r="N86" s="5"/>
      <c r="O86" s="5"/>
      <c r="P86" s="5"/>
    </row>
    <row r="87" spans="1:18" ht="42.75" customHeight="1">
      <c r="A87" s="49" t="s">
        <v>119</v>
      </c>
      <c r="B87" s="53" t="s">
        <v>120</v>
      </c>
      <c r="C87" s="7" t="s">
        <v>21</v>
      </c>
      <c r="D87" s="15">
        <f t="shared" si="4"/>
        <v>4992.5</v>
      </c>
      <c r="E87" s="15">
        <v>0</v>
      </c>
      <c r="F87" s="15">
        <v>0</v>
      </c>
      <c r="G87" s="15">
        <f>1938+301.9+752.6+1500+500</f>
        <v>4992.5</v>
      </c>
      <c r="H87" s="15">
        <v>0</v>
      </c>
      <c r="I87" s="52" t="s">
        <v>118</v>
      </c>
      <c r="J87" s="53" t="s">
        <v>23</v>
      </c>
      <c r="K87" s="7">
        <v>100</v>
      </c>
      <c r="L87" s="52" t="s">
        <v>24</v>
      </c>
      <c r="M87" s="49" t="s">
        <v>25</v>
      </c>
      <c r="N87" s="5"/>
      <c r="O87" s="5"/>
      <c r="P87" s="5"/>
    </row>
    <row r="88" spans="1:18" ht="42.75" customHeight="1">
      <c r="A88" s="49"/>
      <c r="B88" s="53"/>
      <c r="C88" s="7" t="s">
        <v>26</v>
      </c>
      <c r="D88" s="15">
        <f t="shared" si="4"/>
        <v>5000</v>
      </c>
      <c r="E88" s="15">
        <v>0</v>
      </c>
      <c r="F88" s="15">
        <v>0</v>
      </c>
      <c r="G88" s="19">
        <f>1938+377.8+2684.2</f>
        <v>5000</v>
      </c>
      <c r="H88" s="15">
        <v>0</v>
      </c>
      <c r="I88" s="52"/>
      <c r="J88" s="53"/>
      <c r="K88" s="7">
        <v>100</v>
      </c>
      <c r="L88" s="52"/>
      <c r="M88" s="49"/>
      <c r="N88" s="5"/>
      <c r="O88" s="5"/>
      <c r="P88" s="5"/>
    </row>
    <row r="89" spans="1:18" ht="48.75" customHeight="1">
      <c r="A89" s="49"/>
      <c r="B89" s="53"/>
      <c r="C89" s="7" t="s">
        <v>27</v>
      </c>
      <c r="D89" s="15">
        <f t="shared" si="4"/>
        <v>2321</v>
      </c>
      <c r="E89" s="15">
        <v>0</v>
      </c>
      <c r="F89" s="15">
        <v>0</v>
      </c>
      <c r="G89" s="15">
        <f>1938+383</f>
        <v>2321</v>
      </c>
      <c r="H89" s="15">
        <v>0</v>
      </c>
      <c r="I89" s="52"/>
      <c r="J89" s="53"/>
      <c r="K89" s="7">
        <v>100</v>
      </c>
      <c r="L89" s="52"/>
      <c r="M89" s="49"/>
      <c r="N89" s="5"/>
      <c r="O89" s="5"/>
      <c r="P89" s="5"/>
    </row>
    <row r="90" spans="1:18" ht="68.25" customHeight="1">
      <c r="A90" s="49" t="s">
        <v>121</v>
      </c>
      <c r="B90" s="53" t="s">
        <v>122</v>
      </c>
      <c r="C90" s="7" t="s">
        <v>21</v>
      </c>
      <c r="D90" s="15">
        <f t="shared" si="4"/>
        <v>33056.100000000006</v>
      </c>
      <c r="E90" s="15">
        <v>0</v>
      </c>
      <c r="F90" s="15">
        <f>25139.1+12844.2-4927.2</f>
        <v>33056.100000000006</v>
      </c>
      <c r="G90" s="15">
        <v>0</v>
      </c>
      <c r="H90" s="15">
        <v>0</v>
      </c>
      <c r="I90" s="52" t="s">
        <v>123</v>
      </c>
      <c r="J90" s="53" t="s">
        <v>31</v>
      </c>
      <c r="K90" s="7">
        <v>1500</v>
      </c>
      <c r="L90" s="52" t="s">
        <v>24</v>
      </c>
      <c r="M90" s="49" t="s">
        <v>25</v>
      </c>
      <c r="N90" s="20"/>
      <c r="O90" s="21"/>
      <c r="P90" s="21"/>
      <c r="Q90" s="21"/>
      <c r="R90" s="21"/>
    </row>
    <row r="91" spans="1:18" ht="68.25" customHeight="1">
      <c r="A91" s="49"/>
      <c r="B91" s="53"/>
      <c r="C91" s="7" t="s">
        <v>26</v>
      </c>
      <c r="D91" s="15">
        <f t="shared" si="4"/>
        <v>39494</v>
      </c>
      <c r="E91" s="15">
        <v>0</v>
      </c>
      <c r="F91" s="15">
        <f>26161.2+13332.8</f>
        <v>39494</v>
      </c>
      <c r="G91" s="15">
        <v>0</v>
      </c>
      <c r="H91" s="15">
        <v>0</v>
      </c>
      <c r="I91" s="52"/>
      <c r="J91" s="53"/>
      <c r="K91" s="7">
        <v>1500</v>
      </c>
      <c r="L91" s="52"/>
      <c r="M91" s="49"/>
      <c r="N91" s="20"/>
      <c r="O91" s="21"/>
      <c r="P91" s="21"/>
      <c r="Q91" s="21"/>
      <c r="R91" s="21"/>
    </row>
    <row r="92" spans="1:18" ht="68.25" customHeight="1">
      <c r="A92" s="49"/>
      <c r="B92" s="53"/>
      <c r="C92" s="7" t="s">
        <v>27</v>
      </c>
      <c r="D92" s="15">
        <f t="shared" si="4"/>
        <v>41066.400000000001</v>
      </c>
      <c r="E92" s="15">
        <v>0</v>
      </c>
      <c r="F92" s="15">
        <f>27205+13861.4</f>
        <v>41066.400000000001</v>
      </c>
      <c r="G92" s="15">
        <v>0</v>
      </c>
      <c r="H92" s="15">
        <v>0</v>
      </c>
      <c r="I92" s="52"/>
      <c r="J92" s="53"/>
      <c r="K92" s="7">
        <v>1500</v>
      </c>
      <c r="L92" s="52"/>
      <c r="M92" s="49"/>
      <c r="N92" s="20"/>
      <c r="O92" s="21"/>
      <c r="P92" s="21"/>
      <c r="Q92" s="21"/>
      <c r="R92" s="21"/>
    </row>
    <row r="93" spans="1:18" ht="29.25" customHeight="1">
      <c r="A93" s="49" t="s">
        <v>124</v>
      </c>
      <c r="B93" s="53" t="s">
        <v>125</v>
      </c>
      <c r="C93" s="7" t="s">
        <v>21</v>
      </c>
      <c r="D93" s="15">
        <f t="shared" si="4"/>
        <v>66319.3</v>
      </c>
      <c r="E93" s="15">
        <f>53616.7-4474.2</f>
        <v>49142.5</v>
      </c>
      <c r="F93" s="15">
        <f>15122.7-1261.9</f>
        <v>13860.800000000001</v>
      </c>
      <c r="G93" s="15">
        <f>3617.9-301.9</f>
        <v>3316</v>
      </c>
      <c r="H93" s="15">
        <v>0</v>
      </c>
      <c r="I93" s="52" t="s">
        <v>126</v>
      </c>
      <c r="J93" s="53" t="s">
        <v>31</v>
      </c>
      <c r="K93" s="7">
        <v>5688</v>
      </c>
      <c r="L93" s="52" t="s">
        <v>24</v>
      </c>
      <c r="M93" s="49" t="s">
        <v>25</v>
      </c>
      <c r="N93" s="20"/>
      <c r="O93" s="21"/>
      <c r="P93" s="21"/>
      <c r="Q93" s="21"/>
      <c r="R93" s="21"/>
    </row>
    <row r="94" spans="1:18" ht="29.25" customHeight="1">
      <c r="A94" s="49"/>
      <c r="B94" s="53"/>
      <c r="C94" s="7" t="s">
        <v>26</v>
      </c>
      <c r="D94" s="15">
        <f t="shared" si="4"/>
        <v>63983.399999999994</v>
      </c>
      <c r="E94" s="15">
        <f>53011-5599.4</f>
        <v>47411.6</v>
      </c>
      <c r="F94" s="15">
        <f>14952-1579.4</f>
        <v>13372.6</v>
      </c>
      <c r="G94" s="15">
        <f>3577-377.8</f>
        <v>3199.2</v>
      </c>
      <c r="H94" s="15">
        <v>0</v>
      </c>
      <c r="I94" s="52"/>
      <c r="J94" s="53"/>
      <c r="K94" s="7">
        <v>5688</v>
      </c>
      <c r="L94" s="52"/>
      <c r="M94" s="49"/>
      <c r="N94" s="20"/>
      <c r="O94" s="21"/>
      <c r="P94" s="21"/>
      <c r="Q94" s="21"/>
      <c r="R94" s="21"/>
    </row>
    <row r="95" spans="1:18" ht="29.25" customHeight="1">
      <c r="A95" s="49"/>
      <c r="B95" s="53"/>
      <c r="C95" s="7" t="s">
        <v>27</v>
      </c>
      <c r="D95" s="15">
        <f t="shared" si="4"/>
        <v>63879.199999999997</v>
      </c>
      <c r="E95" s="15">
        <v>47334.400000000001</v>
      </c>
      <c r="F95" s="15">
        <v>13350.8</v>
      </c>
      <c r="G95" s="15">
        <f>3577-383</f>
        <v>3194</v>
      </c>
      <c r="H95" s="15">
        <v>0</v>
      </c>
      <c r="I95" s="52"/>
      <c r="J95" s="53"/>
      <c r="K95" s="7">
        <v>5688</v>
      </c>
      <c r="L95" s="52"/>
      <c r="M95" s="49"/>
      <c r="N95" s="20"/>
      <c r="O95" s="21"/>
      <c r="P95" s="21"/>
      <c r="Q95" s="21"/>
      <c r="R95" s="21"/>
    </row>
    <row r="96" spans="1:18" ht="30" customHeight="1">
      <c r="A96" s="49" t="s">
        <v>127</v>
      </c>
      <c r="B96" s="53" t="s">
        <v>128</v>
      </c>
      <c r="C96" s="7" t="s">
        <v>21</v>
      </c>
      <c r="D96" s="15">
        <f t="shared" si="4"/>
        <v>22687.9</v>
      </c>
      <c r="E96" s="15">
        <v>0</v>
      </c>
      <c r="F96" s="15">
        <v>0</v>
      </c>
      <c r="G96" s="15">
        <f>27387.9-1500-2700-500</f>
        <v>22687.9</v>
      </c>
      <c r="H96" s="15">
        <v>0</v>
      </c>
      <c r="I96" s="52" t="s">
        <v>129</v>
      </c>
      <c r="J96" s="53" t="s">
        <v>31</v>
      </c>
      <c r="K96" s="7">
        <v>5688</v>
      </c>
      <c r="L96" s="52" t="s">
        <v>24</v>
      </c>
      <c r="M96" s="49" t="s">
        <v>25</v>
      </c>
      <c r="N96" s="5"/>
      <c r="O96" s="5"/>
      <c r="P96" s="5"/>
    </row>
    <row r="97" spans="1:18" ht="30" customHeight="1">
      <c r="A97" s="49"/>
      <c r="B97" s="53"/>
      <c r="C97" s="7" t="s">
        <v>26</v>
      </c>
      <c r="D97" s="15">
        <f t="shared" si="4"/>
        <v>24703.7</v>
      </c>
      <c r="E97" s="15">
        <v>0</v>
      </c>
      <c r="F97" s="15">
        <v>0</v>
      </c>
      <c r="G97" s="19">
        <f>27387.9-2684.2</f>
        <v>24703.7</v>
      </c>
      <c r="H97" s="15">
        <v>0</v>
      </c>
      <c r="I97" s="52"/>
      <c r="J97" s="53"/>
      <c r="K97" s="7">
        <v>5688</v>
      </c>
      <c r="L97" s="52"/>
      <c r="M97" s="49"/>
      <c r="N97" s="5"/>
      <c r="O97" s="5"/>
      <c r="P97" s="5"/>
    </row>
    <row r="98" spans="1:18" ht="30" customHeight="1">
      <c r="A98" s="49"/>
      <c r="B98" s="53"/>
      <c r="C98" s="7" t="s">
        <v>27</v>
      </c>
      <c r="D98" s="15">
        <f t="shared" si="4"/>
        <v>27387.9</v>
      </c>
      <c r="E98" s="15">
        <v>0</v>
      </c>
      <c r="F98" s="15">
        <v>0</v>
      </c>
      <c r="G98" s="15">
        <v>27387.9</v>
      </c>
      <c r="H98" s="15">
        <v>0</v>
      </c>
      <c r="I98" s="52"/>
      <c r="J98" s="53"/>
      <c r="K98" s="7">
        <v>5688</v>
      </c>
      <c r="L98" s="52"/>
      <c r="M98" s="49"/>
      <c r="N98" s="5"/>
      <c r="O98" s="5"/>
      <c r="P98" s="5"/>
    </row>
    <row r="99" spans="1:18" ht="31.5" customHeight="1">
      <c r="A99" s="49" t="s">
        <v>130</v>
      </c>
      <c r="B99" s="53" t="s">
        <v>131</v>
      </c>
      <c r="C99" s="7" t="s">
        <v>21</v>
      </c>
      <c r="D99" s="15">
        <f t="shared" si="4"/>
        <v>25984.400000000001</v>
      </c>
      <c r="E99" s="15">
        <f t="shared" ref="E99:H101" si="6">E102+E105</f>
        <v>0</v>
      </c>
      <c r="F99" s="15">
        <f t="shared" si="6"/>
        <v>15776.5</v>
      </c>
      <c r="G99" s="15">
        <f t="shared" si="6"/>
        <v>10207.900000000001</v>
      </c>
      <c r="H99" s="15">
        <f t="shared" si="6"/>
        <v>0</v>
      </c>
      <c r="I99" s="52" t="s">
        <v>132</v>
      </c>
      <c r="J99" s="53" t="s">
        <v>31</v>
      </c>
      <c r="K99" s="7">
        <v>685</v>
      </c>
      <c r="L99" s="52" t="s">
        <v>24</v>
      </c>
      <c r="M99" s="49" t="s">
        <v>25</v>
      </c>
      <c r="N99" s="22"/>
      <c r="O99" s="21"/>
      <c r="P99" s="21"/>
      <c r="Q99" s="21"/>
      <c r="R99" s="21"/>
    </row>
    <row r="100" spans="1:18" ht="31.5" customHeight="1">
      <c r="A100" s="49"/>
      <c r="B100" s="53"/>
      <c r="C100" s="7" t="s">
        <v>26</v>
      </c>
      <c r="D100" s="15">
        <f t="shared" si="4"/>
        <v>30893.800000000003</v>
      </c>
      <c r="E100" s="15">
        <f t="shared" si="6"/>
        <v>0</v>
      </c>
      <c r="F100" s="15">
        <f t="shared" si="6"/>
        <v>18812.2</v>
      </c>
      <c r="G100" s="15">
        <f t="shared" si="6"/>
        <v>12081.6</v>
      </c>
      <c r="H100" s="15">
        <f t="shared" si="6"/>
        <v>0</v>
      </c>
      <c r="I100" s="52"/>
      <c r="J100" s="53"/>
      <c r="K100" s="7">
        <v>685</v>
      </c>
      <c r="L100" s="52"/>
      <c r="M100" s="49"/>
      <c r="N100" s="20"/>
      <c r="O100" s="21"/>
      <c r="P100" s="21"/>
      <c r="Q100" s="21"/>
      <c r="R100" s="21"/>
    </row>
    <row r="101" spans="1:18" ht="31.5" customHeight="1">
      <c r="A101" s="49"/>
      <c r="B101" s="53"/>
      <c r="C101" s="7" t="s">
        <v>27</v>
      </c>
      <c r="D101" s="15">
        <f t="shared" si="4"/>
        <v>32091.7</v>
      </c>
      <c r="E101" s="15">
        <f t="shared" si="6"/>
        <v>0</v>
      </c>
      <c r="F101" s="15">
        <f t="shared" si="6"/>
        <v>19564.7</v>
      </c>
      <c r="G101" s="15">
        <f t="shared" si="6"/>
        <v>12527</v>
      </c>
      <c r="H101" s="15">
        <f t="shared" si="6"/>
        <v>0</v>
      </c>
      <c r="I101" s="52"/>
      <c r="J101" s="53"/>
      <c r="K101" s="7">
        <v>685</v>
      </c>
      <c r="L101" s="52"/>
      <c r="M101" s="49"/>
      <c r="N101" s="20"/>
      <c r="O101" s="21"/>
      <c r="P101" s="21"/>
      <c r="Q101" s="21"/>
      <c r="R101" s="21"/>
    </row>
    <row r="102" spans="1:18" ht="33" customHeight="1">
      <c r="A102" s="49" t="s">
        <v>133</v>
      </c>
      <c r="B102" s="53" t="s">
        <v>131</v>
      </c>
      <c r="C102" s="7" t="s">
        <v>21</v>
      </c>
      <c r="D102" s="15">
        <f t="shared" si="4"/>
        <v>25863.300000000003</v>
      </c>
      <c r="E102" s="15">
        <v>0</v>
      </c>
      <c r="F102" s="15">
        <v>15776.5</v>
      </c>
      <c r="G102" s="15">
        <f>10086.7+0.1</f>
        <v>10086.800000000001</v>
      </c>
      <c r="H102" s="15">
        <v>0</v>
      </c>
      <c r="I102" s="52" t="s">
        <v>132</v>
      </c>
      <c r="J102" s="53" t="s">
        <v>31</v>
      </c>
      <c r="K102" s="7">
        <v>685</v>
      </c>
      <c r="L102" s="52" t="s">
        <v>24</v>
      </c>
      <c r="M102" s="49" t="s">
        <v>25</v>
      </c>
      <c r="N102" s="5"/>
      <c r="O102" s="5"/>
      <c r="P102" s="5"/>
    </row>
    <row r="103" spans="1:18" ht="33" customHeight="1">
      <c r="A103" s="49"/>
      <c r="B103" s="53"/>
      <c r="C103" s="7" t="s">
        <v>26</v>
      </c>
      <c r="D103" s="15">
        <f t="shared" si="4"/>
        <v>30839.7</v>
      </c>
      <c r="E103" s="15">
        <v>0</v>
      </c>
      <c r="F103" s="15">
        <v>18812.2</v>
      </c>
      <c r="G103" s="15">
        <f>12027.6-0.1</f>
        <v>12027.5</v>
      </c>
      <c r="H103" s="15">
        <v>0</v>
      </c>
      <c r="I103" s="52"/>
      <c r="J103" s="53"/>
      <c r="K103" s="7">
        <v>685</v>
      </c>
      <c r="L103" s="52"/>
      <c r="M103" s="49"/>
      <c r="N103" s="5"/>
      <c r="O103" s="5"/>
      <c r="P103" s="5"/>
    </row>
    <row r="104" spans="1:18" ht="33" customHeight="1">
      <c r="A104" s="49"/>
      <c r="B104" s="53"/>
      <c r="C104" s="7" t="s">
        <v>27</v>
      </c>
      <c r="D104" s="15">
        <f t="shared" si="4"/>
        <v>32073.300000000003</v>
      </c>
      <c r="E104" s="15">
        <v>0</v>
      </c>
      <c r="F104" s="15">
        <v>19564.7</v>
      </c>
      <c r="G104" s="15">
        <f>12508.7-0.1</f>
        <v>12508.6</v>
      </c>
      <c r="H104" s="15">
        <v>0</v>
      </c>
      <c r="I104" s="52"/>
      <c r="J104" s="53"/>
      <c r="K104" s="7">
        <v>685</v>
      </c>
      <c r="L104" s="52"/>
      <c r="M104" s="49"/>
      <c r="N104" s="5"/>
      <c r="O104" s="5"/>
      <c r="P104" s="5"/>
    </row>
    <row r="105" spans="1:18" ht="31.5" customHeight="1">
      <c r="A105" s="49" t="s">
        <v>134</v>
      </c>
      <c r="B105" s="53" t="s">
        <v>135</v>
      </c>
      <c r="C105" s="7" t="s">
        <v>21</v>
      </c>
      <c r="D105" s="15">
        <f t="shared" si="4"/>
        <v>121.10000000000014</v>
      </c>
      <c r="E105" s="15">
        <v>0</v>
      </c>
      <c r="F105" s="15">
        <v>0</v>
      </c>
      <c r="G105" s="15">
        <f>1994.9-0.1-1873.7</f>
        <v>121.10000000000014</v>
      </c>
      <c r="H105" s="15">
        <v>0</v>
      </c>
      <c r="I105" s="52" t="s">
        <v>136</v>
      </c>
      <c r="J105" s="53" t="s">
        <v>23</v>
      </c>
      <c r="K105" s="7">
        <v>100</v>
      </c>
      <c r="L105" s="52" t="s">
        <v>24</v>
      </c>
      <c r="M105" s="49" t="s">
        <v>25</v>
      </c>
      <c r="N105" s="5"/>
      <c r="O105" s="5"/>
      <c r="P105" s="5"/>
    </row>
    <row r="106" spans="1:18" ht="31.5" customHeight="1">
      <c r="A106" s="49"/>
      <c r="B106" s="53"/>
      <c r="C106" s="7" t="s">
        <v>26</v>
      </c>
      <c r="D106" s="15">
        <f t="shared" si="4"/>
        <v>54.1</v>
      </c>
      <c r="E106" s="15">
        <v>0</v>
      </c>
      <c r="F106" s="15">
        <v>0</v>
      </c>
      <c r="G106" s="15">
        <f>54+0.1</f>
        <v>54.1</v>
      </c>
      <c r="H106" s="15">
        <v>0</v>
      </c>
      <c r="I106" s="52"/>
      <c r="J106" s="53"/>
      <c r="K106" s="7">
        <v>100</v>
      </c>
      <c r="L106" s="52"/>
      <c r="M106" s="49"/>
      <c r="N106" s="5"/>
      <c r="O106" s="5"/>
      <c r="P106" s="5"/>
    </row>
    <row r="107" spans="1:18" ht="31.5" customHeight="1">
      <c r="A107" s="49"/>
      <c r="B107" s="53"/>
      <c r="C107" s="7" t="s">
        <v>27</v>
      </c>
      <c r="D107" s="15">
        <f t="shared" si="4"/>
        <v>18.400000000000002</v>
      </c>
      <c r="E107" s="15">
        <v>0</v>
      </c>
      <c r="F107" s="15">
        <v>0</v>
      </c>
      <c r="G107" s="15">
        <f>18.3+0.1</f>
        <v>18.400000000000002</v>
      </c>
      <c r="H107" s="15">
        <v>0</v>
      </c>
      <c r="I107" s="52"/>
      <c r="J107" s="53"/>
      <c r="K107" s="7">
        <v>100</v>
      </c>
      <c r="L107" s="52"/>
      <c r="M107" s="49"/>
      <c r="N107" s="5"/>
      <c r="O107" s="5"/>
      <c r="P107" s="5"/>
    </row>
    <row r="108" spans="1:18" ht="42.75" customHeight="1">
      <c r="A108" s="49" t="s">
        <v>137</v>
      </c>
      <c r="B108" s="71" t="s">
        <v>138</v>
      </c>
      <c r="C108" s="7" t="s">
        <v>21</v>
      </c>
      <c r="D108" s="15">
        <f t="shared" si="4"/>
        <v>3761.7999999999997</v>
      </c>
      <c r="E108" s="15">
        <f t="shared" ref="E108:H110" si="7">E111+E114</f>
        <v>0</v>
      </c>
      <c r="F108" s="15">
        <f t="shared" si="7"/>
        <v>2791.2</v>
      </c>
      <c r="G108" s="15">
        <f t="shared" si="7"/>
        <v>970.6</v>
      </c>
      <c r="H108" s="15">
        <f t="shared" si="7"/>
        <v>0</v>
      </c>
      <c r="I108" s="52" t="s">
        <v>139</v>
      </c>
      <c r="J108" s="53" t="s">
        <v>23</v>
      </c>
      <c r="K108" s="7">
        <v>100</v>
      </c>
      <c r="L108" s="52" t="s">
        <v>24</v>
      </c>
      <c r="M108" s="49" t="s">
        <v>25</v>
      </c>
      <c r="N108" s="5"/>
      <c r="O108" s="5"/>
      <c r="P108" s="5"/>
    </row>
    <row r="109" spans="1:18" ht="42.75" customHeight="1">
      <c r="A109" s="49"/>
      <c r="B109" s="71"/>
      <c r="C109" s="7" t="s">
        <v>26</v>
      </c>
      <c r="D109" s="15">
        <f t="shared" si="4"/>
        <v>4029.9</v>
      </c>
      <c r="E109" s="15">
        <f t="shared" si="7"/>
        <v>0</v>
      </c>
      <c r="F109" s="15">
        <f t="shared" si="7"/>
        <v>2945.9</v>
      </c>
      <c r="G109" s="15">
        <f t="shared" si="7"/>
        <v>1084</v>
      </c>
      <c r="H109" s="15">
        <f t="shared" si="7"/>
        <v>0</v>
      </c>
      <c r="I109" s="52"/>
      <c r="J109" s="53"/>
      <c r="K109" s="7">
        <v>100</v>
      </c>
      <c r="L109" s="52"/>
      <c r="M109" s="49"/>
      <c r="N109" s="23"/>
      <c r="O109" s="5"/>
      <c r="P109" s="5"/>
    </row>
    <row r="110" spans="1:18" ht="51" customHeight="1">
      <c r="A110" s="49"/>
      <c r="B110" s="71"/>
      <c r="C110" s="7" t="s">
        <v>27</v>
      </c>
      <c r="D110" s="15">
        <f t="shared" si="4"/>
        <v>4147.7</v>
      </c>
      <c r="E110" s="15">
        <f t="shared" si="7"/>
        <v>0</v>
      </c>
      <c r="F110" s="15">
        <f t="shared" si="7"/>
        <v>3063.7</v>
      </c>
      <c r="G110" s="15">
        <f t="shared" si="7"/>
        <v>1084</v>
      </c>
      <c r="H110" s="15">
        <f t="shared" si="7"/>
        <v>0</v>
      </c>
      <c r="I110" s="52"/>
      <c r="J110" s="53"/>
      <c r="K110" s="7">
        <v>100</v>
      </c>
      <c r="L110" s="52"/>
      <c r="M110" s="49"/>
      <c r="N110" s="5"/>
      <c r="O110" s="5"/>
      <c r="P110" s="5"/>
    </row>
    <row r="111" spans="1:18" ht="45" customHeight="1">
      <c r="A111" s="49" t="s">
        <v>140</v>
      </c>
      <c r="B111" s="53" t="s">
        <v>141</v>
      </c>
      <c r="C111" s="7" t="s">
        <v>21</v>
      </c>
      <c r="D111" s="15">
        <f t="shared" si="4"/>
        <v>3027.7999999999997</v>
      </c>
      <c r="E111" s="15">
        <v>0</v>
      </c>
      <c r="F111" s="15">
        <f>2833.1-41.9</f>
        <v>2791.2</v>
      </c>
      <c r="G111" s="15">
        <v>236.6</v>
      </c>
      <c r="H111" s="15">
        <v>0</v>
      </c>
      <c r="I111" s="52" t="s">
        <v>142</v>
      </c>
      <c r="J111" s="53" t="s">
        <v>23</v>
      </c>
      <c r="K111" s="7">
        <v>100</v>
      </c>
      <c r="L111" s="52" t="s">
        <v>24</v>
      </c>
      <c r="M111" s="49" t="s">
        <v>25</v>
      </c>
      <c r="N111" s="5"/>
      <c r="O111" s="5"/>
      <c r="P111" s="5"/>
    </row>
    <row r="112" spans="1:18" ht="45" customHeight="1">
      <c r="A112" s="49"/>
      <c r="B112" s="53"/>
      <c r="C112" s="7" t="s">
        <v>26</v>
      </c>
      <c r="D112" s="15">
        <f t="shared" si="4"/>
        <v>2945.9</v>
      </c>
      <c r="E112" s="15">
        <v>0</v>
      </c>
      <c r="F112" s="15">
        <v>2945.9</v>
      </c>
      <c r="G112" s="15">
        <v>0</v>
      </c>
      <c r="H112" s="15">
        <v>0</v>
      </c>
      <c r="I112" s="52"/>
      <c r="J112" s="53"/>
      <c r="K112" s="7">
        <v>100</v>
      </c>
      <c r="L112" s="52"/>
      <c r="M112" s="49"/>
      <c r="N112" s="5"/>
      <c r="O112" s="5"/>
      <c r="P112" s="5"/>
    </row>
    <row r="113" spans="1:16" ht="45" customHeight="1">
      <c r="A113" s="49"/>
      <c r="B113" s="53"/>
      <c r="C113" s="7" t="s">
        <v>27</v>
      </c>
      <c r="D113" s="15">
        <f t="shared" si="4"/>
        <v>3063.7</v>
      </c>
      <c r="E113" s="15">
        <v>0</v>
      </c>
      <c r="F113" s="15">
        <v>3063.7</v>
      </c>
      <c r="G113" s="15">
        <v>0</v>
      </c>
      <c r="H113" s="15">
        <v>0</v>
      </c>
      <c r="I113" s="52"/>
      <c r="J113" s="53"/>
      <c r="K113" s="7">
        <v>100</v>
      </c>
      <c r="L113" s="52"/>
      <c r="M113" s="49"/>
      <c r="N113" s="5"/>
      <c r="O113" s="5"/>
      <c r="P113" s="5"/>
    </row>
    <row r="114" spans="1:16" ht="48.75" customHeight="1">
      <c r="A114" s="49" t="s">
        <v>143</v>
      </c>
      <c r="B114" s="53" t="s">
        <v>144</v>
      </c>
      <c r="C114" s="7" t="s">
        <v>21</v>
      </c>
      <c r="D114" s="15">
        <f t="shared" si="4"/>
        <v>734</v>
      </c>
      <c r="E114" s="15">
        <v>0</v>
      </c>
      <c r="F114" s="15">
        <v>0</v>
      </c>
      <c r="G114" s="15">
        <f>1084-350</f>
        <v>734</v>
      </c>
      <c r="H114" s="15">
        <v>0</v>
      </c>
      <c r="I114" s="52" t="s">
        <v>142</v>
      </c>
      <c r="J114" s="53" t="s">
        <v>23</v>
      </c>
      <c r="K114" s="7">
        <v>100</v>
      </c>
      <c r="L114" s="52" t="s">
        <v>24</v>
      </c>
      <c r="M114" s="49" t="s">
        <v>25</v>
      </c>
      <c r="N114" s="5"/>
      <c r="O114" s="5"/>
      <c r="P114" s="5"/>
    </row>
    <row r="115" spans="1:16" ht="48.75" customHeight="1">
      <c r="A115" s="49"/>
      <c r="B115" s="53"/>
      <c r="C115" s="7" t="s">
        <v>26</v>
      </c>
      <c r="D115" s="15">
        <f t="shared" si="4"/>
        <v>1084</v>
      </c>
      <c r="E115" s="15">
        <v>0</v>
      </c>
      <c r="F115" s="15">
        <v>0</v>
      </c>
      <c r="G115" s="15">
        <v>1084</v>
      </c>
      <c r="H115" s="15">
        <v>0</v>
      </c>
      <c r="I115" s="52"/>
      <c r="J115" s="53"/>
      <c r="K115" s="7">
        <v>100</v>
      </c>
      <c r="L115" s="52"/>
      <c r="M115" s="49"/>
      <c r="N115" s="5"/>
      <c r="O115" s="5"/>
      <c r="P115" s="5"/>
    </row>
    <row r="116" spans="1:16" ht="48.75" customHeight="1">
      <c r="A116" s="49"/>
      <c r="B116" s="53"/>
      <c r="C116" s="7" t="s">
        <v>27</v>
      </c>
      <c r="D116" s="15">
        <f t="shared" si="4"/>
        <v>1084</v>
      </c>
      <c r="E116" s="15">
        <v>0</v>
      </c>
      <c r="F116" s="15">
        <v>0</v>
      </c>
      <c r="G116" s="15">
        <v>1084</v>
      </c>
      <c r="H116" s="15">
        <v>0</v>
      </c>
      <c r="I116" s="52"/>
      <c r="J116" s="53"/>
      <c r="K116" s="7">
        <v>100</v>
      </c>
      <c r="L116" s="52"/>
      <c r="M116" s="49"/>
      <c r="N116" s="5"/>
      <c r="O116" s="5"/>
      <c r="P116" s="5"/>
    </row>
    <row r="117" spans="1:16" ht="32.25" customHeight="1">
      <c r="A117" s="49" t="s">
        <v>145</v>
      </c>
      <c r="B117" s="53" t="s">
        <v>84</v>
      </c>
      <c r="C117" s="7" t="s">
        <v>21</v>
      </c>
      <c r="D117" s="15">
        <f t="shared" si="4"/>
        <v>4680.8</v>
      </c>
      <c r="E117" s="15">
        <v>0</v>
      </c>
      <c r="F117" s="15">
        <f>2680.8+2000</f>
        <v>4680.8</v>
      </c>
      <c r="G117" s="15">
        <v>0</v>
      </c>
      <c r="H117" s="15">
        <v>0</v>
      </c>
      <c r="I117" s="52" t="s">
        <v>85</v>
      </c>
      <c r="J117" s="53" t="s">
        <v>31</v>
      </c>
      <c r="K117" s="7">
        <v>298</v>
      </c>
      <c r="L117" s="52" t="s">
        <v>24</v>
      </c>
      <c r="M117" s="49" t="s">
        <v>25</v>
      </c>
      <c r="N117" s="5"/>
      <c r="O117" s="5"/>
      <c r="P117" s="5"/>
    </row>
    <row r="118" spans="1:16" ht="32.25" customHeight="1">
      <c r="A118" s="49"/>
      <c r="B118" s="53"/>
      <c r="C118" s="7" t="s">
        <v>26</v>
      </c>
      <c r="D118" s="15">
        <f t="shared" si="4"/>
        <v>2806.8</v>
      </c>
      <c r="E118" s="15">
        <v>0</v>
      </c>
      <c r="F118" s="15">
        <v>2806.8</v>
      </c>
      <c r="G118" s="15">
        <v>0</v>
      </c>
      <c r="H118" s="15">
        <v>0</v>
      </c>
      <c r="I118" s="52"/>
      <c r="J118" s="53"/>
      <c r="K118" s="7">
        <v>296</v>
      </c>
      <c r="L118" s="52"/>
      <c r="M118" s="49"/>
      <c r="N118" s="5"/>
      <c r="O118" s="5"/>
      <c r="P118" s="5"/>
    </row>
    <row r="119" spans="1:16" ht="39.75" customHeight="1">
      <c r="A119" s="49"/>
      <c r="B119" s="53"/>
      <c r="C119" s="7" t="s">
        <v>27</v>
      </c>
      <c r="D119" s="15">
        <f t="shared" si="4"/>
        <v>2948.5</v>
      </c>
      <c r="E119" s="15">
        <v>0</v>
      </c>
      <c r="F119" s="15">
        <v>2948.5</v>
      </c>
      <c r="G119" s="15">
        <v>0</v>
      </c>
      <c r="H119" s="15">
        <v>0</v>
      </c>
      <c r="I119" s="52"/>
      <c r="J119" s="53"/>
      <c r="K119" s="7">
        <v>298</v>
      </c>
      <c r="L119" s="52"/>
      <c r="M119" s="49"/>
      <c r="N119" s="5"/>
      <c r="O119" s="5"/>
      <c r="P119" s="5"/>
    </row>
    <row r="120" spans="1:16" ht="39.75" customHeight="1">
      <c r="A120" s="49" t="s">
        <v>146</v>
      </c>
      <c r="B120" s="53" t="s">
        <v>147</v>
      </c>
      <c r="C120" s="50" t="s">
        <v>21</v>
      </c>
      <c r="D120" s="69">
        <f t="shared" si="4"/>
        <v>6551.7</v>
      </c>
      <c r="E120" s="69">
        <v>0</v>
      </c>
      <c r="F120" s="69">
        <f>4562+412.3+1750-172.6</f>
        <v>6551.7</v>
      </c>
      <c r="G120" s="69">
        <v>0</v>
      </c>
      <c r="H120" s="69">
        <v>0</v>
      </c>
      <c r="I120" s="9" t="s">
        <v>148</v>
      </c>
      <c r="J120" s="10" t="s">
        <v>43</v>
      </c>
      <c r="K120" s="7">
        <v>10</v>
      </c>
      <c r="L120" s="52" t="s">
        <v>24</v>
      </c>
      <c r="M120" s="24" t="s">
        <v>25</v>
      </c>
      <c r="N120" s="5"/>
      <c r="O120" s="5"/>
      <c r="P120" s="5"/>
    </row>
    <row r="121" spans="1:16" ht="39.75" customHeight="1">
      <c r="A121" s="49"/>
      <c r="B121" s="53"/>
      <c r="C121" s="50"/>
      <c r="D121" s="69"/>
      <c r="E121" s="69"/>
      <c r="F121" s="69"/>
      <c r="G121" s="69"/>
      <c r="H121" s="69"/>
      <c r="I121" s="9" t="s">
        <v>149</v>
      </c>
      <c r="J121" s="10" t="s">
        <v>31</v>
      </c>
      <c r="K121" s="7">
        <v>746</v>
      </c>
      <c r="L121" s="52"/>
      <c r="M121" s="24"/>
      <c r="N121" s="5"/>
      <c r="O121" s="5"/>
      <c r="P121" s="5"/>
    </row>
    <row r="122" spans="1:16" ht="39.75" customHeight="1">
      <c r="A122" s="49"/>
      <c r="B122" s="53"/>
      <c r="C122" s="50" t="s">
        <v>26</v>
      </c>
      <c r="D122" s="69">
        <f>SUM(E122:H122)</f>
        <v>5693.1</v>
      </c>
      <c r="E122" s="69">
        <v>0</v>
      </c>
      <c r="F122" s="69">
        <f>4778.5+422.6+492</f>
        <v>5693.1</v>
      </c>
      <c r="G122" s="69">
        <v>0</v>
      </c>
      <c r="H122" s="69">
        <v>0</v>
      </c>
      <c r="I122" s="9" t="s">
        <v>148</v>
      </c>
      <c r="J122" s="10" t="s">
        <v>43</v>
      </c>
      <c r="K122" s="7">
        <v>10</v>
      </c>
      <c r="L122" s="52"/>
      <c r="M122" s="24"/>
      <c r="N122" s="5"/>
      <c r="O122" s="25"/>
      <c r="P122" s="5"/>
    </row>
    <row r="123" spans="1:16" ht="39.75" customHeight="1">
      <c r="A123" s="49"/>
      <c r="B123" s="53"/>
      <c r="C123" s="50"/>
      <c r="D123" s="69"/>
      <c r="E123" s="69"/>
      <c r="F123" s="69"/>
      <c r="G123" s="69"/>
      <c r="H123" s="69"/>
      <c r="I123" s="9" t="s">
        <v>149</v>
      </c>
      <c r="J123" s="10" t="s">
        <v>31</v>
      </c>
      <c r="K123" s="7">
        <v>820</v>
      </c>
      <c r="L123" s="52"/>
      <c r="M123" s="24"/>
      <c r="N123" s="5"/>
      <c r="O123" s="5"/>
      <c r="P123" s="5"/>
    </row>
    <row r="124" spans="1:16" ht="39.75" customHeight="1">
      <c r="A124" s="49"/>
      <c r="B124" s="53"/>
      <c r="C124" s="50" t="s">
        <v>27</v>
      </c>
      <c r="D124" s="69">
        <f>SUM(E124:H124)</f>
        <v>5401.1</v>
      </c>
      <c r="E124" s="69">
        <v>0</v>
      </c>
      <c r="F124" s="69">
        <f>4778.5+422.6+200</f>
        <v>5401.1</v>
      </c>
      <c r="G124" s="69">
        <v>0</v>
      </c>
      <c r="H124" s="69">
        <v>0</v>
      </c>
      <c r="I124" s="9" t="s">
        <v>148</v>
      </c>
      <c r="J124" s="10" t="s">
        <v>43</v>
      </c>
      <c r="K124" s="7">
        <v>10</v>
      </c>
      <c r="L124" s="52"/>
      <c r="M124" s="24"/>
      <c r="N124" s="5"/>
      <c r="O124" s="5"/>
      <c r="P124" s="5"/>
    </row>
    <row r="125" spans="1:16" ht="39.75" customHeight="1">
      <c r="A125" s="49"/>
      <c r="B125" s="53"/>
      <c r="C125" s="50"/>
      <c r="D125" s="69"/>
      <c r="E125" s="69"/>
      <c r="F125" s="69"/>
      <c r="G125" s="69"/>
      <c r="H125" s="69"/>
      <c r="I125" s="9" t="s">
        <v>149</v>
      </c>
      <c r="J125" s="10" t="s">
        <v>31</v>
      </c>
      <c r="K125" s="7">
        <v>820</v>
      </c>
      <c r="L125" s="52"/>
      <c r="M125" s="24"/>
      <c r="N125" s="5"/>
      <c r="O125" s="5"/>
      <c r="P125" s="5"/>
    </row>
    <row r="126" spans="1:16" ht="30" customHeight="1">
      <c r="A126" s="49" t="s">
        <v>150</v>
      </c>
      <c r="B126" s="53" t="s">
        <v>87</v>
      </c>
      <c r="C126" s="7" t="s">
        <v>21</v>
      </c>
      <c r="D126" s="15">
        <f t="shared" ref="D126:D155" si="8">SUM(E126:H126)</f>
        <v>8742.2999999999993</v>
      </c>
      <c r="E126" s="15">
        <v>0</v>
      </c>
      <c r="F126" s="15">
        <v>8742.2999999999993</v>
      </c>
      <c r="G126" s="15">
        <v>0</v>
      </c>
      <c r="H126" s="15">
        <v>0</v>
      </c>
      <c r="I126" s="52" t="s">
        <v>151</v>
      </c>
      <c r="J126" s="53" t="s">
        <v>43</v>
      </c>
      <c r="K126" s="7" t="s">
        <v>46</v>
      </c>
      <c r="L126" s="52" t="s">
        <v>24</v>
      </c>
      <c r="M126" s="49" t="s">
        <v>25</v>
      </c>
      <c r="N126" s="5"/>
      <c r="O126" s="5"/>
      <c r="P126" s="5"/>
    </row>
    <row r="127" spans="1:16" ht="30" customHeight="1">
      <c r="A127" s="49"/>
      <c r="B127" s="53"/>
      <c r="C127" s="7" t="s">
        <v>26</v>
      </c>
      <c r="D127" s="15">
        <f t="shared" si="8"/>
        <v>0</v>
      </c>
      <c r="E127" s="15">
        <v>0</v>
      </c>
      <c r="F127" s="15">
        <v>0</v>
      </c>
      <c r="G127" s="15">
        <v>0</v>
      </c>
      <c r="H127" s="15">
        <v>0</v>
      </c>
      <c r="I127" s="52"/>
      <c r="J127" s="53"/>
      <c r="K127" s="7" t="s">
        <v>46</v>
      </c>
      <c r="L127" s="52"/>
      <c r="M127" s="49"/>
      <c r="N127" s="5"/>
      <c r="O127" s="5"/>
      <c r="P127" s="5"/>
    </row>
    <row r="128" spans="1:16" ht="30" customHeight="1">
      <c r="A128" s="49"/>
      <c r="B128" s="53"/>
      <c r="C128" s="7" t="s">
        <v>27</v>
      </c>
      <c r="D128" s="15">
        <f t="shared" si="8"/>
        <v>0</v>
      </c>
      <c r="E128" s="15">
        <v>0</v>
      </c>
      <c r="F128" s="15">
        <v>0</v>
      </c>
      <c r="G128" s="15">
        <v>0</v>
      </c>
      <c r="H128" s="15">
        <v>0</v>
      </c>
      <c r="I128" s="52"/>
      <c r="J128" s="53"/>
      <c r="K128" s="7" t="s">
        <v>46</v>
      </c>
      <c r="L128" s="52"/>
      <c r="M128" s="49"/>
      <c r="N128" s="5"/>
      <c r="O128" s="5"/>
      <c r="P128" s="5"/>
    </row>
    <row r="129" spans="1:16" ht="54.75" customHeight="1">
      <c r="A129" s="49" t="s">
        <v>152</v>
      </c>
      <c r="B129" s="53" t="s">
        <v>153</v>
      </c>
      <c r="C129" s="7" t="s">
        <v>21</v>
      </c>
      <c r="D129" s="15">
        <f t="shared" si="8"/>
        <v>12954.6</v>
      </c>
      <c r="E129" s="15">
        <v>0</v>
      </c>
      <c r="F129" s="15">
        <v>0</v>
      </c>
      <c r="G129" s="19">
        <f>12324.2+271.8-1023.9-917.5+2300</f>
        <v>12954.6</v>
      </c>
      <c r="H129" s="15">
        <v>0</v>
      </c>
      <c r="I129" s="52" t="s">
        <v>91</v>
      </c>
      <c r="J129" s="53" t="s">
        <v>43</v>
      </c>
      <c r="K129" s="7">
        <v>15</v>
      </c>
      <c r="L129" s="52" t="s">
        <v>24</v>
      </c>
      <c r="M129" s="49" t="s">
        <v>25</v>
      </c>
      <c r="N129" s="5"/>
      <c r="O129" s="5"/>
      <c r="P129" s="5"/>
    </row>
    <row r="130" spans="1:16" ht="54.75" customHeight="1">
      <c r="A130" s="49"/>
      <c r="B130" s="53"/>
      <c r="C130" s="7" t="s">
        <v>26</v>
      </c>
      <c r="D130" s="15">
        <f t="shared" si="8"/>
        <v>0</v>
      </c>
      <c r="E130" s="15">
        <v>0</v>
      </c>
      <c r="F130" s="15">
        <v>0</v>
      </c>
      <c r="G130" s="15">
        <v>0</v>
      </c>
      <c r="H130" s="15">
        <v>0</v>
      </c>
      <c r="I130" s="52"/>
      <c r="J130" s="53"/>
      <c r="K130" s="7" t="s">
        <v>46</v>
      </c>
      <c r="L130" s="52"/>
      <c r="M130" s="49"/>
      <c r="N130" s="5"/>
      <c r="O130" s="5"/>
      <c r="P130" s="5"/>
    </row>
    <row r="131" spans="1:16" ht="54.75" customHeight="1">
      <c r="A131" s="49"/>
      <c r="B131" s="53"/>
      <c r="C131" s="7" t="s">
        <v>27</v>
      </c>
      <c r="D131" s="15">
        <f t="shared" si="8"/>
        <v>0</v>
      </c>
      <c r="E131" s="15">
        <v>0</v>
      </c>
      <c r="F131" s="15">
        <v>0</v>
      </c>
      <c r="G131" s="15">
        <v>0</v>
      </c>
      <c r="H131" s="15">
        <v>0</v>
      </c>
      <c r="I131" s="52"/>
      <c r="J131" s="53"/>
      <c r="K131" s="7" t="s">
        <v>46</v>
      </c>
      <c r="L131" s="52"/>
      <c r="M131" s="49"/>
      <c r="N131" s="5"/>
      <c r="O131" s="5"/>
      <c r="P131" s="5"/>
    </row>
    <row r="132" spans="1:16" ht="26.25" customHeight="1">
      <c r="A132" s="49" t="s">
        <v>154</v>
      </c>
      <c r="B132" s="53" t="s">
        <v>155</v>
      </c>
      <c r="C132" s="7" t="s">
        <v>21</v>
      </c>
      <c r="D132" s="15">
        <f t="shared" si="8"/>
        <v>2305</v>
      </c>
      <c r="E132" s="15">
        <v>0</v>
      </c>
      <c r="F132" s="15">
        <v>0</v>
      </c>
      <c r="G132" s="15">
        <v>2305</v>
      </c>
      <c r="H132" s="15">
        <v>0</v>
      </c>
      <c r="I132" s="52" t="s">
        <v>156</v>
      </c>
      <c r="J132" s="53" t="s">
        <v>43</v>
      </c>
      <c r="K132" s="7">
        <v>23</v>
      </c>
      <c r="L132" s="52" t="s">
        <v>24</v>
      </c>
      <c r="M132" s="49" t="s">
        <v>25</v>
      </c>
      <c r="N132" s="5"/>
      <c r="O132" s="5"/>
      <c r="P132" s="5"/>
    </row>
    <row r="133" spans="1:16" ht="26.25" customHeight="1">
      <c r="A133" s="49"/>
      <c r="B133" s="53"/>
      <c r="C133" s="7" t="s">
        <v>26</v>
      </c>
      <c r="D133" s="15">
        <f t="shared" si="8"/>
        <v>0</v>
      </c>
      <c r="E133" s="15">
        <v>0</v>
      </c>
      <c r="F133" s="15">
        <v>0</v>
      </c>
      <c r="G133" s="15">
        <v>0</v>
      </c>
      <c r="H133" s="15">
        <v>0</v>
      </c>
      <c r="I133" s="52"/>
      <c r="J133" s="53"/>
      <c r="K133" s="7" t="s">
        <v>46</v>
      </c>
      <c r="L133" s="52"/>
      <c r="M133" s="49"/>
      <c r="N133" s="5"/>
      <c r="O133" s="5"/>
      <c r="P133" s="5"/>
    </row>
    <row r="134" spans="1:16" ht="26.25" customHeight="1">
      <c r="A134" s="49"/>
      <c r="B134" s="53"/>
      <c r="C134" s="7" t="s">
        <v>27</v>
      </c>
      <c r="D134" s="15">
        <f t="shared" si="8"/>
        <v>0</v>
      </c>
      <c r="E134" s="15">
        <v>0</v>
      </c>
      <c r="F134" s="15">
        <v>0</v>
      </c>
      <c r="G134" s="15">
        <v>0</v>
      </c>
      <c r="H134" s="15">
        <v>0</v>
      </c>
      <c r="I134" s="52"/>
      <c r="J134" s="53"/>
      <c r="K134" s="7" t="s">
        <v>46</v>
      </c>
      <c r="L134" s="52"/>
      <c r="M134" s="49"/>
      <c r="N134" s="5"/>
      <c r="O134" s="5"/>
      <c r="P134" s="5"/>
    </row>
    <row r="135" spans="1:16" ht="44.25" customHeight="1">
      <c r="A135" s="49" t="s">
        <v>157</v>
      </c>
      <c r="B135" s="53" t="s">
        <v>158</v>
      </c>
      <c r="C135" s="7" t="s">
        <v>21</v>
      </c>
      <c r="D135" s="15">
        <f t="shared" si="8"/>
        <v>7632.9</v>
      </c>
      <c r="E135" s="15">
        <v>0</v>
      </c>
      <c r="F135" s="15">
        <v>0</v>
      </c>
      <c r="G135" s="15">
        <v>7632.9</v>
      </c>
      <c r="H135" s="15">
        <v>0</v>
      </c>
      <c r="I135" s="52" t="s">
        <v>159</v>
      </c>
      <c r="J135" s="53" t="s">
        <v>43</v>
      </c>
      <c r="K135" s="7">
        <v>20</v>
      </c>
      <c r="L135" s="52" t="s">
        <v>24</v>
      </c>
      <c r="M135" s="49" t="s">
        <v>25</v>
      </c>
      <c r="N135" s="5"/>
      <c r="O135" s="5"/>
      <c r="P135" s="5"/>
    </row>
    <row r="136" spans="1:16" ht="38.25" customHeight="1">
      <c r="A136" s="49"/>
      <c r="B136" s="53"/>
      <c r="C136" s="7" t="s">
        <v>26</v>
      </c>
      <c r="D136" s="15">
        <f t="shared" si="8"/>
        <v>0</v>
      </c>
      <c r="E136" s="15">
        <v>0</v>
      </c>
      <c r="F136" s="15">
        <v>0</v>
      </c>
      <c r="G136" s="15">
        <v>0</v>
      </c>
      <c r="H136" s="15">
        <v>0</v>
      </c>
      <c r="I136" s="52"/>
      <c r="J136" s="53"/>
      <c r="K136" s="7" t="s">
        <v>46</v>
      </c>
      <c r="L136" s="52"/>
      <c r="M136" s="49"/>
      <c r="N136" s="5"/>
      <c r="O136" s="5"/>
      <c r="P136" s="5"/>
    </row>
    <row r="137" spans="1:16" ht="37.5" customHeight="1">
      <c r="A137" s="49"/>
      <c r="B137" s="53"/>
      <c r="C137" s="7" t="s">
        <v>27</v>
      </c>
      <c r="D137" s="15">
        <f t="shared" si="8"/>
        <v>0</v>
      </c>
      <c r="E137" s="15">
        <v>0</v>
      </c>
      <c r="F137" s="15">
        <v>0</v>
      </c>
      <c r="G137" s="15">
        <v>0</v>
      </c>
      <c r="H137" s="15">
        <v>0</v>
      </c>
      <c r="I137" s="52"/>
      <c r="J137" s="53"/>
      <c r="K137" s="7" t="s">
        <v>46</v>
      </c>
      <c r="L137" s="52"/>
      <c r="M137" s="49"/>
      <c r="N137" s="5"/>
      <c r="O137" s="5"/>
      <c r="P137" s="5"/>
    </row>
    <row r="138" spans="1:16" ht="22.5" customHeight="1">
      <c r="A138" s="49" t="s">
        <v>160</v>
      </c>
      <c r="B138" s="53" t="s">
        <v>161</v>
      </c>
      <c r="C138" s="7" t="s">
        <v>21</v>
      </c>
      <c r="D138" s="15">
        <f t="shared" si="8"/>
        <v>3147.7</v>
      </c>
      <c r="E138" s="15">
        <f t="shared" ref="E138:H140" si="9">E141+E144+E147</f>
        <v>0</v>
      </c>
      <c r="F138" s="15">
        <f t="shared" si="9"/>
        <v>0</v>
      </c>
      <c r="G138" s="15">
        <f t="shared" si="9"/>
        <v>3147.7</v>
      </c>
      <c r="H138" s="15">
        <f t="shared" si="9"/>
        <v>0</v>
      </c>
      <c r="I138" s="52" t="s">
        <v>162</v>
      </c>
      <c r="J138" s="10" t="s">
        <v>46</v>
      </c>
      <c r="K138" s="7" t="s">
        <v>46</v>
      </c>
      <c r="L138" s="52" t="s">
        <v>46</v>
      </c>
      <c r="M138" s="49" t="s">
        <v>46</v>
      </c>
      <c r="N138" s="23"/>
      <c r="O138" s="5"/>
      <c r="P138" s="5"/>
    </row>
    <row r="139" spans="1:16" ht="22.5" customHeight="1">
      <c r="A139" s="49"/>
      <c r="B139" s="53"/>
      <c r="C139" s="7" t="s">
        <v>26</v>
      </c>
      <c r="D139" s="15">
        <f t="shared" si="8"/>
        <v>150</v>
      </c>
      <c r="E139" s="15">
        <f t="shared" si="9"/>
        <v>0</v>
      </c>
      <c r="F139" s="15">
        <f t="shared" si="9"/>
        <v>0</v>
      </c>
      <c r="G139" s="15">
        <f t="shared" si="9"/>
        <v>150</v>
      </c>
      <c r="H139" s="15">
        <f t="shared" si="9"/>
        <v>0</v>
      </c>
      <c r="I139" s="52"/>
      <c r="J139" s="10" t="s">
        <v>46</v>
      </c>
      <c r="K139" s="7" t="s">
        <v>46</v>
      </c>
      <c r="L139" s="52"/>
      <c r="M139" s="49"/>
      <c r="N139" s="5"/>
      <c r="O139" s="5"/>
      <c r="P139" s="5"/>
    </row>
    <row r="140" spans="1:16" ht="22.5" customHeight="1">
      <c r="A140" s="49"/>
      <c r="B140" s="53"/>
      <c r="C140" s="7" t="s">
        <v>27</v>
      </c>
      <c r="D140" s="15">
        <f t="shared" si="8"/>
        <v>150</v>
      </c>
      <c r="E140" s="15">
        <f t="shared" si="9"/>
        <v>0</v>
      </c>
      <c r="F140" s="15">
        <f t="shared" si="9"/>
        <v>0</v>
      </c>
      <c r="G140" s="15">
        <f t="shared" si="9"/>
        <v>150</v>
      </c>
      <c r="H140" s="15">
        <f t="shared" si="9"/>
        <v>0</v>
      </c>
      <c r="I140" s="52"/>
      <c r="J140" s="10" t="s">
        <v>46</v>
      </c>
      <c r="K140" s="7" t="s">
        <v>46</v>
      </c>
      <c r="L140" s="52"/>
      <c r="M140" s="49"/>
      <c r="N140" s="5"/>
      <c r="O140" s="5"/>
      <c r="P140" s="5"/>
    </row>
    <row r="141" spans="1:16" ht="32.25" customHeight="1">
      <c r="A141" s="49" t="s">
        <v>163</v>
      </c>
      <c r="B141" s="53" t="s">
        <v>164</v>
      </c>
      <c r="C141" s="7" t="s">
        <v>21</v>
      </c>
      <c r="D141" s="15">
        <f t="shared" si="8"/>
        <v>93.6</v>
      </c>
      <c r="E141" s="15">
        <v>0</v>
      </c>
      <c r="F141" s="15">
        <v>0</v>
      </c>
      <c r="G141" s="15">
        <v>93.6</v>
      </c>
      <c r="H141" s="15">
        <v>0</v>
      </c>
      <c r="I141" s="52" t="s">
        <v>165</v>
      </c>
      <c r="J141" s="53" t="s">
        <v>43</v>
      </c>
      <c r="K141" s="7">
        <v>5</v>
      </c>
      <c r="L141" s="52" t="s">
        <v>24</v>
      </c>
      <c r="M141" s="49" t="s">
        <v>25</v>
      </c>
      <c r="N141" s="5"/>
      <c r="O141" s="5"/>
      <c r="P141" s="5"/>
    </row>
    <row r="142" spans="1:16" ht="32.25" customHeight="1">
      <c r="A142" s="49"/>
      <c r="B142" s="53"/>
      <c r="C142" s="7" t="s">
        <v>26</v>
      </c>
      <c r="D142" s="15">
        <f t="shared" si="8"/>
        <v>90</v>
      </c>
      <c r="E142" s="15">
        <v>0</v>
      </c>
      <c r="F142" s="15">
        <v>0</v>
      </c>
      <c r="G142" s="15">
        <v>90</v>
      </c>
      <c r="H142" s="15">
        <v>0</v>
      </c>
      <c r="I142" s="52"/>
      <c r="J142" s="53"/>
      <c r="K142" s="7">
        <v>5</v>
      </c>
      <c r="L142" s="52"/>
      <c r="M142" s="49"/>
      <c r="N142" s="5"/>
      <c r="O142" s="5"/>
      <c r="P142" s="5"/>
    </row>
    <row r="143" spans="1:16" ht="32.25" customHeight="1">
      <c r="A143" s="49"/>
      <c r="B143" s="53"/>
      <c r="C143" s="7" t="s">
        <v>27</v>
      </c>
      <c r="D143" s="15">
        <f t="shared" si="8"/>
        <v>90</v>
      </c>
      <c r="E143" s="15">
        <v>0</v>
      </c>
      <c r="F143" s="15">
        <v>0</v>
      </c>
      <c r="G143" s="15">
        <v>90</v>
      </c>
      <c r="H143" s="15">
        <v>0</v>
      </c>
      <c r="I143" s="52"/>
      <c r="J143" s="53"/>
      <c r="K143" s="7">
        <v>5</v>
      </c>
      <c r="L143" s="52"/>
      <c r="M143" s="49"/>
      <c r="N143" s="5"/>
      <c r="O143" s="5"/>
      <c r="P143" s="5"/>
    </row>
    <row r="144" spans="1:16" ht="47.25" customHeight="1">
      <c r="A144" s="49" t="s">
        <v>166</v>
      </c>
      <c r="B144" s="53" t="s">
        <v>167</v>
      </c>
      <c r="C144" s="7" t="s">
        <v>21</v>
      </c>
      <c r="D144" s="15">
        <f t="shared" si="8"/>
        <v>60</v>
      </c>
      <c r="E144" s="15">
        <v>0</v>
      </c>
      <c r="F144" s="15">
        <v>0</v>
      </c>
      <c r="G144" s="15">
        <v>60</v>
      </c>
      <c r="H144" s="15">
        <v>0</v>
      </c>
      <c r="I144" s="52" t="s">
        <v>168</v>
      </c>
      <c r="J144" s="53" t="s">
        <v>31</v>
      </c>
      <c r="K144" s="7">
        <v>10</v>
      </c>
      <c r="L144" s="52" t="s">
        <v>169</v>
      </c>
      <c r="M144" s="49" t="s">
        <v>25</v>
      </c>
      <c r="N144" s="5"/>
      <c r="O144" s="5"/>
      <c r="P144" s="5"/>
    </row>
    <row r="145" spans="1:16" ht="47.25" customHeight="1">
      <c r="A145" s="49"/>
      <c r="B145" s="53"/>
      <c r="C145" s="7" t="s">
        <v>26</v>
      </c>
      <c r="D145" s="15">
        <f t="shared" si="8"/>
        <v>60</v>
      </c>
      <c r="E145" s="15">
        <v>0</v>
      </c>
      <c r="F145" s="15">
        <v>0</v>
      </c>
      <c r="G145" s="15">
        <v>60</v>
      </c>
      <c r="H145" s="15">
        <v>0</v>
      </c>
      <c r="I145" s="52"/>
      <c r="J145" s="53"/>
      <c r="K145" s="7">
        <v>10</v>
      </c>
      <c r="L145" s="52"/>
      <c r="M145" s="49"/>
      <c r="N145" s="5"/>
      <c r="O145" s="5"/>
      <c r="P145" s="5"/>
    </row>
    <row r="146" spans="1:16" ht="47.25" customHeight="1">
      <c r="A146" s="49"/>
      <c r="B146" s="53"/>
      <c r="C146" s="7" t="s">
        <v>27</v>
      </c>
      <c r="D146" s="15">
        <f t="shared" si="8"/>
        <v>60</v>
      </c>
      <c r="E146" s="15">
        <v>0</v>
      </c>
      <c r="F146" s="15">
        <v>0</v>
      </c>
      <c r="G146" s="15">
        <v>60</v>
      </c>
      <c r="H146" s="15">
        <v>0</v>
      </c>
      <c r="I146" s="52"/>
      <c r="J146" s="53"/>
      <c r="K146" s="7">
        <v>10</v>
      </c>
      <c r="L146" s="52"/>
      <c r="M146" s="49"/>
      <c r="N146" s="5"/>
      <c r="O146" s="5"/>
      <c r="P146" s="5"/>
    </row>
    <row r="147" spans="1:16" ht="26.25" customHeight="1">
      <c r="A147" s="49" t="s">
        <v>170</v>
      </c>
      <c r="B147" s="53" t="s">
        <v>171</v>
      </c>
      <c r="C147" s="7" t="s">
        <v>21</v>
      </c>
      <c r="D147" s="15">
        <f t="shared" si="8"/>
        <v>2994.1</v>
      </c>
      <c r="E147" s="15">
        <v>0</v>
      </c>
      <c r="F147" s="15">
        <v>0</v>
      </c>
      <c r="G147" s="15">
        <f>3117.5-123.4</f>
        <v>2994.1</v>
      </c>
      <c r="H147" s="15">
        <v>0</v>
      </c>
      <c r="I147" s="52" t="s">
        <v>172</v>
      </c>
      <c r="J147" s="53" t="s">
        <v>43</v>
      </c>
      <c r="K147" s="7">
        <v>1</v>
      </c>
      <c r="L147" s="52" t="s">
        <v>24</v>
      </c>
      <c r="M147" s="49" t="s">
        <v>25</v>
      </c>
      <c r="N147" s="5"/>
      <c r="O147" s="5"/>
      <c r="P147" s="5"/>
    </row>
    <row r="148" spans="1:16" ht="26.25" customHeight="1">
      <c r="A148" s="49"/>
      <c r="B148" s="53"/>
      <c r="C148" s="7" t="s">
        <v>26</v>
      </c>
      <c r="D148" s="15">
        <f t="shared" si="8"/>
        <v>0</v>
      </c>
      <c r="E148" s="15">
        <v>0</v>
      </c>
      <c r="F148" s="15">
        <v>0</v>
      </c>
      <c r="G148" s="15">
        <v>0</v>
      </c>
      <c r="H148" s="15">
        <v>0</v>
      </c>
      <c r="I148" s="52"/>
      <c r="J148" s="53"/>
      <c r="K148" s="7">
        <v>0</v>
      </c>
      <c r="L148" s="52"/>
      <c r="M148" s="49"/>
      <c r="N148" s="5"/>
      <c r="O148" s="5"/>
      <c r="P148" s="5"/>
    </row>
    <row r="149" spans="1:16" ht="26.25" customHeight="1">
      <c r="A149" s="49"/>
      <c r="B149" s="53"/>
      <c r="C149" s="7" t="s">
        <v>27</v>
      </c>
      <c r="D149" s="15">
        <f t="shared" si="8"/>
        <v>0</v>
      </c>
      <c r="E149" s="15">
        <v>0</v>
      </c>
      <c r="F149" s="15">
        <v>0</v>
      </c>
      <c r="G149" s="15">
        <v>0</v>
      </c>
      <c r="H149" s="15">
        <v>0</v>
      </c>
      <c r="I149" s="52"/>
      <c r="J149" s="53"/>
      <c r="K149" s="7">
        <v>0</v>
      </c>
      <c r="L149" s="52"/>
      <c r="M149" s="49"/>
      <c r="N149" s="5"/>
      <c r="O149" s="5"/>
      <c r="P149" s="5"/>
    </row>
    <row r="150" spans="1:16" ht="61.5" customHeight="1">
      <c r="A150" s="49" t="s">
        <v>173</v>
      </c>
      <c r="B150" s="53" t="s">
        <v>55</v>
      </c>
      <c r="C150" s="7" t="s">
        <v>21</v>
      </c>
      <c r="D150" s="15">
        <f t="shared" si="8"/>
        <v>0</v>
      </c>
      <c r="E150" s="15">
        <v>0</v>
      </c>
      <c r="F150" s="15">
        <v>0</v>
      </c>
      <c r="G150" s="12">
        <f>1523.5-1523.5</f>
        <v>0</v>
      </c>
      <c r="H150" s="15">
        <v>0</v>
      </c>
      <c r="I150" s="52" t="s">
        <v>56</v>
      </c>
      <c r="J150" s="50" t="s">
        <v>43</v>
      </c>
      <c r="K150" s="7">
        <v>2</v>
      </c>
      <c r="L150" s="52" t="s">
        <v>24</v>
      </c>
      <c r="M150" s="49" t="s">
        <v>25</v>
      </c>
      <c r="N150" s="5"/>
      <c r="O150" s="5"/>
      <c r="P150" s="5"/>
    </row>
    <row r="151" spans="1:16" ht="61.5" customHeight="1">
      <c r="A151" s="49"/>
      <c r="B151" s="53"/>
      <c r="C151" s="7" t="s">
        <v>26</v>
      </c>
      <c r="D151" s="15">
        <f t="shared" si="8"/>
        <v>919.2</v>
      </c>
      <c r="E151" s="15">
        <v>0</v>
      </c>
      <c r="F151" s="15">
        <v>0</v>
      </c>
      <c r="G151" s="12">
        <v>919.2</v>
      </c>
      <c r="H151" s="15">
        <v>0</v>
      </c>
      <c r="I151" s="52"/>
      <c r="J151" s="52"/>
      <c r="K151" s="7">
        <v>1</v>
      </c>
      <c r="L151" s="52"/>
      <c r="M151" s="49"/>
      <c r="N151" s="5"/>
      <c r="O151" s="5"/>
      <c r="P151" s="5"/>
    </row>
    <row r="152" spans="1:16" ht="61.5" customHeight="1">
      <c r="A152" s="49"/>
      <c r="B152" s="53"/>
      <c r="C152" s="7" t="s">
        <v>27</v>
      </c>
      <c r="D152" s="15">
        <f t="shared" si="8"/>
        <v>0</v>
      </c>
      <c r="E152" s="15">
        <v>0</v>
      </c>
      <c r="F152" s="15">
        <v>0</v>
      </c>
      <c r="G152" s="15">
        <v>0</v>
      </c>
      <c r="H152" s="15">
        <v>0</v>
      </c>
      <c r="I152" s="52"/>
      <c r="J152" s="52"/>
      <c r="K152" s="7" t="s">
        <v>46</v>
      </c>
      <c r="L152" s="52"/>
      <c r="M152" s="49"/>
      <c r="N152" s="5"/>
      <c r="O152" s="5"/>
      <c r="P152" s="5"/>
    </row>
    <row r="153" spans="1:16" ht="27" customHeight="1">
      <c r="A153" s="68" t="s">
        <v>35</v>
      </c>
      <c r="B153" s="68"/>
      <c r="C153" s="16" t="s">
        <v>21</v>
      </c>
      <c r="D153" s="26">
        <f t="shared" si="8"/>
        <v>1330841.8999999999</v>
      </c>
      <c r="E153" s="26">
        <f>E51+E75+E78+E81+E117+E120+E126+E129+E132+E135+E138+E150</f>
        <v>49142.5</v>
      </c>
      <c r="F153" s="26">
        <f>F51+F75+F78+F81+F117+F120+F126+F129+F132+F135+F138+F150</f>
        <v>1034840.0000000001</v>
      </c>
      <c r="G153" s="26">
        <f>G51+G75+G78+G81+G117+G120+G126+G129+G132+G135+G138+G150</f>
        <v>236859.4</v>
      </c>
      <c r="H153" s="26">
        <f>H51+H75+H78+H81+H117+H120+H126+H129+H132+H135+H138+H150</f>
        <v>10000</v>
      </c>
      <c r="I153" s="54" t="s">
        <v>36</v>
      </c>
      <c r="J153" s="54" t="s">
        <v>36</v>
      </c>
      <c r="K153" s="54" t="s">
        <v>36</v>
      </c>
      <c r="L153" s="54" t="s">
        <v>36</v>
      </c>
      <c r="M153" s="54" t="s">
        <v>36</v>
      </c>
      <c r="N153" s="5"/>
      <c r="O153" s="5"/>
      <c r="P153" s="5"/>
    </row>
    <row r="154" spans="1:16" ht="27" customHeight="1">
      <c r="A154" s="68"/>
      <c r="B154" s="68"/>
      <c r="C154" s="16" t="s">
        <v>26</v>
      </c>
      <c r="D154" s="26">
        <f t="shared" si="8"/>
        <v>1347147.6000000003</v>
      </c>
      <c r="E154" s="26">
        <f>E52+E76+E79+E82+E118+E121+E127+E130+E133+E136+E139+E151</f>
        <v>47411.6</v>
      </c>
      <c r="F154" s="26">
        <f>F52+F76+F79+F82+F118+F122+F127+F130+F133+F136+F139+F151</f>
        <v>1086525.2000000002</v>
      </c>
      <c r="G154" s="26">
        <f>G52+G76+G79+G82+G118+G121+G127+G130+G133+G136+G139+G151</f>
        <v>203210.80000000002</v>
      </c>
      <c r="H154" s="26">
        <f>H52+H76+H79+H82+H118+H121+H127+H130+H133+H136+H139+H151</f>
        <v>10000</v>
      </c>
      <c r="I154" s="54"/>
      <c r="J154" s="54"/>
      <c r="K154" s="54"/>
      <c r="L154" s="54"/>
      <c r="M154" s="54"/>
      <c r="N154" s="5"/>
      <c r="O154" s="5"/>
      <c r="P154" s="5"/>
    </row>
    <row r="155" spans="1:16" ht="27" customHeight="1">
      <c r="A155" s="68"/>
      <c r="B155" s="68"/>
      <c r="C155" s="16" t="s">
        <v>27</v>
      </c>
      <c r="D155" s="26">
        <f t="shared" si="8"/>
        <v>1374236.8</v>
      </c>
      <c r="E155" s="26">
        <f>E53+E77+E80+E83+E119+E122+E128+E131+E134+E137+E140+E152</f>
        <v>47334.400000000001</v>
      </c>
      <c r="F155" s="26">
        <f>F53+F77+F80+F83+F119+F124+F128+F131+F134+F137+F140+F152</f>
        <v>1114165.4000000001</v>
      </c>
      <c r="G155" s="26">
        <f>G53+G77+G80+G83+G119+G122+G128+G131+G134+G137+G140+G152</f>
        <v>202737</v>
      </c>
      <c r="H155" s="26">
        <f>H53+H77+H80+H83+H119+H122+H128+H131+H134+H137+H140+H152</f>
        <v>10000</v>
      </c>
      <c r="I155" s="54"/>
      <c r="J155" s="54"/>
      <c r="K155" s="54"/>
      <c r="L155" s="54"/>
      <c r="M155" s="54"/>
      <c r="N155" s="5"/>
      <c r="O155" s="5"/>
      <c r="P155" s="5"/>
    </row>
    <row r="156" spans="1:16" ht="54" customHeight="1">
      <c r="A156" s="62" t="s">
        <v>174</v>
      </c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5"/>
      <c r="O156" s="5"/>
      <c r="P156" s="5"/>
    </row>
    <row r="157" spans="1:16" ht="18" customHeight="1">
      <c r="A157" s="49" t="s">
        <v>175</v>
      </c>
      <c r="B157" s="62" t="s">
        <v>176</v>
      </c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5"/>
      <c r="O157" s="5"/>
      <c r="P157" s="5"/>
    </row>
    <row r="158" spans="1:16" ht="18" customHeight="1">
      <c r="A158" s="49"/>
      <c r="B158" s="62" t="s">
        <v>71</v>
      </c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5"/>
      <c r="O158" s="5"/>
      <c r="P158" s="5"/>
    </row>
    <row r="159" spans="1:16" ht="35.25" customHeight="1">
      <c r="A159" s="49" t="s">
        <v>177</v>
      </c>
      <c r="B159" s="53" t="s">
        <v>178</v>
      </c>
      <c r="C159" s="7" t="s">
        <v>21</v>
      </c>
      <c r="D159" s="12">
        <f t="shared" ref="D159:D185" si="10">SUM(E159:H159)</f>
        <v>84361.700000000012</v>
      </c>
      <c r="E159" s="12">
        <v>0</v>
      </c>
      <c r="F159" s="12">
        <v>0</v>
      </c>
      <c r="G159" s="14">
        <f>87572.6-19463+2000+8678.8+3686.6-93-20.3-500</f>
        <v>81861.700000000012</v>
      </c>
      <c r="H159" s="12">
        <v>2500</v>
      </c>
      <c r="I159" s="52" t="s">
        <v>179</v>
      </c>
      <c r="J159" s="53" t="s">
        <v>31</v>
      </c>
      <c r="K159" s="7">
        <v>5972</v>
      </c>
      <c r="L159" s="52" t="s">
        <v>24</v>
      </c>
      <c r="M159" s="49" t="s">
        <v>180</v>
      </c>
      <c r="N159" s="5"/>
      <c r="O159" s="5"/>
      <c r="P159" s="5"/>
    </row>
    <row r="160" spans="1:16" ht="35.25" customHeight="1">
      <c r="A160" s="49"/>
      <c r="B160" s="53"/>
      <c r="C160" s="7" t="s">
        <v>26</v>
      </c>
      <c r="D160" s="12">
        <f t="shared" si="10"/>
        <v>69237.5</v>
      </c>
      <c r="E160" s="12">
        <v>0</v>
      </c>
      <c r="F160" s="12">
        <v>0</v>
      </c>
      <c r="G160" s="12">
        <f>87572.6-20835.1</f>
        <v>66737.5</v>
      </c>
      <c r="H160" s="12">
        <v>2500</v>
      </c>
      <c r="I160" s="52"/>
      <c r="J160" s="53"/>
      <c r="K160" s="7">
        <v>5972</v>
      </c>
      <c r="L160" s="52"/>
      <c r="M160" s="49"/>
      <c r="N160" s="5"/>
      <c r="O160" s="27"/>
      <c r="P160" s="5"/>
    </row>
    <row r="161" spans="1:16" ht="35.25" customHeight="1">
      <c r="A161" s="49"/>
      <c r="B161" s="53"/>
      <c r="C161" s="7" t="s">
        <v>27</v>
      </c>
      <c r="D161" s="12">
        <f t="shared" si="10"/>
        <v>69237.5</v>
      </c>
      <c r="E161" s="12">
        <v>0</v>
      </c>
      <c r="F161" s="12">
        <v>0</v>
      </c>
      <c r="G161" s="12">
        <f>87572.6-20835.1</f>
        <v>66737.5</v>
      </c>
      <c r="H161" s="12">
        <v>2500</v>
      </c>
      <c r="I161" s="52"/>
      <c r="J161" s="53"/>
      <c r="K161" s="7">
        <v>5972</v>
      </c>
      <c r="L161" s="52"/>
      <c r="M161" s="49"/>
      <c r="N161" s="5"/>
      <c r="O161" s="27"/>
      <c r="P161" s="5"/>
    </row>
    <row r="162" spans="1:16" ht="28.5" customHeight="1">
      <c r="A162" s="49" t="s">
        <v>181</v>
      </c>
      <c r="B162" s="53" t="s">
        <v>182</v>
      </c>
      <c r="C162" s="7" t="s">
        <v>21</v>
      </c>
      <c r="D162" s="12">
        <f t="shared" si="10"/>
        <v>20754.7</v>
      </c>
      <c r="E162" s="12">
        <v>0</v>
      </c>
      <c r="F162" s="12">
        <v>0</v>
      </c>
      <c r="G162" s="14">
        <f>3048+19463-1756.3</f>
        <v>20754.7</v>
      </c>
      <c r="H162" s="12">
        <v>0</v>
      </c>
      <c r="I162" s="52" t="s">
        <v>183</v>
      </c>
      <c r="J162" s="53" t="s">
        <v>31</v>
      </c>
      <c r="K162" s="7">
        <v>5106</v>
      </c>
      <c r="L162" s="52" t="s">
        <v>24</v>
      </c>
      <c r="M162" s="49" t="s">
        <v>180</v>
      </c>
      <c r="N162" s="5"/>
      <c r="O162" s="5"/>
      <c r="P162" s="5"/>
    </row>
    <row r="163" spans="1:16" ht="28.5" customHeight="1">
      <c r="A163" s="49"/>
      <c r="B163" s="53"/>
      <c r="C163" s="7" t="s">
        <v>26</v>
      </c>
      <c r="D163" s="12">
        <f t="shared" si="10"/>
        <v>24072.1</v>
      </c>
      <c r="E163" s="12">
        <v>0</v>
      </c>
      <c r="F163" s="12">
        <v>0</v>
      </c>
      <c r="G163" s="12">
        <f>3237+20835.1</f>
        <v>24072.1</v>
      </c>
      <c r="H163" s="12">
        <v>0</v>
      </c>
      <c r="I163" s="52"/>
      <c r="J163" s="53"/>
      <c r="K163" s="7">
        <v>5106</v>
      </c>
      <c r="L163" s="52"/>
      <c r="M163" s="49"/>
      <c r="N163" s="5"/>
      <c r="O163" s="5"/>
      <c r="P163" s="5"/>
    </row>
    <row r="164" spans="1:16" ht="28.5" customHeight="1">
      <c r="A164" s="49"/>
      <c r="B164" s="53"/>
      <c r="C164" s="7" t="s">
        <v>27</v>
      </c>
      <c r="D164" s="12">
        <f t="shared" si="10"/>
        <v>24072.1</v>
      </c>
      <c r="E164" s="12">
        <v>0</v>
      </c>
      <c r="F164" s="12">
        <v>0</v>
      </c>
      <c r="G164" s="12">
        <f>3237+20835.1</f>
        <v>24072.1</v>
      </c>
      <c r="H164" s="12">
        <v>0</v>
      </c>
      <c r="I164" s="52"/>
      <c r="J164" s="53"/>
      <c r="K164" s="7">
        <v>5106</v>
      </c>
      <c r="L164" s="52"/>
      <c r="M164" s="49"/>
      <c r="N164" s="5"/>
      <c r="O164" s="5"/>
      <c r="P164" s="5"/>
    </row>
    <row r="165" spans="1:16" ht="36" customHeight="1">
      <c r="A165" s="49" t="s">
        <v>184</v>
      </c>
      <c r="B165" s="53" t="s">
        <v>84</v>
      </c>
      <c r="C165" s="7" t="s">
        <v>21</v>
      </c>
      <c r="D165" s="12">
        <f t="shared" si="10"/>
        <v>435.7</v>
      </c>
      <c r="E165" s="12">
        <v>0</v>
      </c>
      <c r="F165" s="12">
        <f>365.7+70</f>
        <v>435.7</v>
      </c>
      <c r="G165" s="12">
        <v>0</v>
      </c>
      <c r="H165" s="12">
        <v>0</v>
      </c>
      <c r="I165" s="52" t="s">
        <v>85</v>
      </c>
      <c r="J165" s="53" t="s">
        <v>31</v>
      </c>
      <c r="K165" s="7">
        <v>24</v>
      </c>
      <c r="L165" s="52" t="s">
        <v>24</v>
      </c>
      <c r="M165" s="49" t="s">
        <v>180</v>
      </c>
      <c r="N165" s="5"/>
      <c r="O165" s="5"/>
      <c r="P165" s="5"/>
    </row>
    <row r="166" spans="1:16" ht="36" customHeight="1">
      <c r="A166" s="49"/>
      <c r="B166" s="53"/>
      <c r="C166" s="7" t="s">
        <v>26</v>
      </c>
      <c r="D166" s="12">
        <f t="shared" si="10"/>
        <v>380.3</v>
      </c>
      <c r="E166" s="12">
        <v>0</v>
      </c>
      <c r="F166" s="12">
        <v>380.3</v>
      </c>
      <c r="G166" s="12">
        <v>0</v>
      </c>
      <c r="H166" s="12">
        <v>0</v>
      </c>
      <c r="I166" s="52"/>
      <c r="J166" s="53"/>
      <c r="K166" s="7">
        <v>26</v>
      </c>
      <c r="L166" s="52"/>
      <c r="M166" s="49"/>
      <c r="N166" s="5"/>
      <c r="O166" s="5"/>
      <c r="P166" s="5"/>
    </row>
    <row r="167" spans="1:16" ht="36" customHeight="1">
      <c r="A167" s="49"/>
      <c r="B167" s="53"/>
      <c r="C167" s="7" t="s">
        <v>27</v>
      </c>
      <c r="D167" s="12">
        <f t="shared" si="10"/>
        <v>427.1</v>
      </c>
      <c r="E167" s="12">
        <v>0</v>
      </c>
      <c r="F167" s="12">
        <v>427.1</v>
      </c>
      <c r="G167" s="12">
        <v>0</v>
      </c>
      <c r="H167" s="12">
        <v>0</v>
      </c>
      <c r="I167" s="52"/>
      <c r="J167" s="53"/>
      <c r="K167" s="7">
        <v>27</v>
      </c>
      <c r="L167" s="52"/>
      <c r="M167" s="49"/>
      <c r="N167" s="5"/>
      <c r="O167" s="5"/>
      <c r="P167" s="5"/>
    </row>
    <row r="168" spans="1:16" ht="27.75" customHeight="1">
      <c r="A168" s="49" t="s">
        <v>185</v>
      </c>
      <c r="B168" s="53" t="s">
        <v>87</v>
      </c>
      <c r="C168" s="7" t="s">
        <v>21</v>
      </c>
      <c r="D168" s="12">
        <f t="shared" si="10"/>
        <v>0</v>
      </c>
      <c r="E168" s="12">
        <v>0</v>
      </c>
      <c r="F168" s="12">
        <v>0</v>
      </c>
      <c r="G168" s="12">
        <v>0</v>
      </c>
      <c r="H168" s="12">
        <v>0</v>
      </c>
      <c r="I168" s="70" t="s">
        <v>151</v>
      </c>
      <c r="J168" s="53" t="s">
        <v>43</v>
      </c>
      <c r="K168" s="7" t="s">
        <v>46</v>
      </c>
      <c r="L168" s="52" t="s">
        <v>24</v>
      </c>
      <c r="M168" s="49" t="s">
        <v>180</v>
      </c>
      <c r="N168" s="23"/>
      <c r="O168" s="5"/>
      <c r="P168" s="5"/>
    </row>
    <row r="169" spans="1:16" ht="27.75" customHeight="1">
      <c r="A169" s="49"/>
      <c r="B169" s="53"/>
      <c r="C169" s="7" t="s">
        <v>26</v>
      </c>
      <c r="D169" s="12">
        <f t="shared" si="10"/>
        <v>0</v>
      </c>
      <c r="E169" s="12">
        <v>0</v>
      </c>
      <c r="F169" s="12">
        <v>0</v>
      </c>
      <c r="G169" s="12">
        <v>0</v>
      </c>
      <c r="H169" s="12">
        <v>0</v>
      </c>
      <c r="I169" s="70"/>
      <c r="J169" s="53"/>
      <c r="K169" s="7" t="s">
        <v>46</v>
      </c>
      <c r="L169" s="52"/>
      <c r="M169" s="49"/>
      <c r="N169" s="5"/>
      <c r="O169" s="5"/>
      <c r="P169" s="5"/>
    </row>
    <row r="170" spans="1:16" ht="27.75" customHeight="1">
      <c r="A170" s="49"/>
      <c r="B170" s="53"/>
      <c r="C170" s="7" t="s">
        <v>27</v>
      </c>
      <c r="D170" s="12">
        <f t="shared" si="10"/>
        <v>0</v>
      </c>
      <c r="E170" s="12">
        <v>0</v>
      </c>
      <c r="F170" s="12">
        <v>0</v>
      </c>
      <c r="G170" s="12">
        <v>0</v>
      </c>
      <c r="H170" s="12">
        <v>0</v>
      </c>
      <c r="I170" s="70"/>
      <c r="J170" s="53"/>
      <c r="K170" s="7" t="s">
        <v>46</v>
      </c>
      <c r="L170" s="52"/>
      <c r="M170" s="49"/>
      <c r="N170" s="5"/>
      <c r="O170" s="5"/>
      <c r="P170" s="5"/>
    </row>
    <row r="171" spans="1:16" ht="57.75" customHeight="1">
      <c r="A171" s="49" t="s">
        <v>186</v>
      </c>
      <c r="B171" s="53" t="s">
        <v>187</v>
      </c>
      <c r="C171" s="7" t="s">
        <v>21</v>
      </c>
      <c r="D171" s="12">
        <f t="shared" si="10"/>
        <v>4103.7</v>
      </c>
      <c r="E171" s="12">
        <v>0</v>
      </c>
      <c r="F171" s="12">
        <v>0</v>
      </c>
      <c r="G171" s="12">
        <f>3861.7+242</f>
        <v>4103.7</v>
      </c>
      <c r="H171" s="12">
        <v>0</v>
      </c>
      <c r="I171" s="52" t="s">
        <v>188</v>
      </c>
      <c r="J171" s="53" t="s">
        <v>43</v>
      </c>
      <c r="K171" s="7">
        <v>3</v>
      </c>
      <c r="L171" s="52" t="s">
        <v>24</v>
      </c>
      <c r="M171" s="49" t="s">
        <v>180</v>
      </c>
      <c r="N171" s="5"/>
      <c r="O171" s="5"/>
      <c r="P171" s="5"/>
    </row>
    <row r="172" spans="1:16" ht="57.75" customHeight="1">
      <c r="A172" s="49"/>
      <c r="B172" s="53"/>
      <c r="C172" s="7" t="s">
        <v>26</v>
      </c>
      <c r="D172" s="12">
        <f t="shared" si="10"/>
        <v>0</v>
      </c>
      <c r="E172" s="12">
        <v>0</v>
      </c>
      <c r="F172" s="12">
        <v>0</v>
      </c>
      <c r="G172" s="12">
        <v>0</v>
      </c>
      <c r="H172" s="12">
        <v>0</v>
      </c>
      <c r="I172" s="52"/>
      <c r="J172" s="53"/>
      <c r="K172" s="7" t="s">
        <v>46</v>
      </c>
      <c r="L172" s="52"/>
      <c r="M172" s="49"/>
      <c r="N172" s="5"/>
      <c r="O172" s="5"/>
      <c r="P172" s="5"/>
    </row>
    <row r="173" spans="1:16" ht="57.75" customHeight="1">
      <c r="A173" s="49"/>
      <c r="B173" s="53"/>
      <c r="C173" s="7" t="s">
        <v>27</v>
      </c>
      <c r="D173" s="12">
        <f t="shared" si="10"/>
        <v>0</v>
      </c>
      <c r="E173" s="12">
        <v>0</v>
      </c>
      <c r="F173" s="12">
        <v>0</v>
      </c>
      <c r="G173" s="12">
        <v>0</v>
      </c>
      <c r="H173" s="12">
        <v>0</v>
      </c>
      <c r="I173" s="52"/>
      <c r="J173" s="53"/>
      <c r="K173" s="7" t="s">
        <v>46</v>
      </c>
      <c r="L173" s="52"/>
      <c r="M173" s="49"/>
      <c r="N173" s="5"/>
      <c r="O173" s="5"/>
      <c r="P173" s="5"/>
    </row>
    <row r="174" spans="1:16" ht="26.25" customHeight="1">
      <c r="A174" s="49" t="s">
        <v>189</v>
      </c>
      <c r="B174" s="53" t="s">
        <v>93</v>
      </c>
      <c r="C174" s="7" t="s">
        <v>21</v>
      </c>
      <c r="D174" s="12">
        <f t="shared" si="10"/>
        <v>250</v>
      </c>
      <c r="E174" s="12">
        <v>0</v>
      </c>
      <c r="F174" s="12">
        <v>0</v>
      </c>
      <c r="G174" s="12">
        <v>250</v>
      </c>
      <c r="H174" s="12">
        <v>0</v>
      </c>
      <c r="I174" s="52" t="s">
        <v>190</v>
      </c>
      <c r="J174" s="53" t="s">
        <v>43</v>
      </c>
      <c r="K174" s="7">
        <v>2</v>
      </c>
      <c r="L174" s="52" t="s">
        <v>24</v>
      </c>
      <c r="M174" s="49" t="s">
        <v>180</v>
      </c>
      <c r="N174" s="5"/>
      <c r="O174" s="5"/>
      <c r="P174" s="5"/>
    </row>
    <row r="175" spans="1:16" ht="26.25" customHeight="1">
      <c r="A175" s="49"/>
      <c r="B175" s="53"/>
      <c r="C175" s="7" t="s">
        <v>26</v>
      </c>
      <c r="D175" s="12">
        <f t="shared" si="10"/>
        <v>0</v>
      </c>
      <c r="E175" s="12">
        <v>0</v>
      </c>
      <c r="F175" s="12">
        <v>0</v>
      </c>
      <c r="G175" s="12">
        <v>0</v>
      </c>
      <c r="H175" s="12">
        <v>0</v>
      </c>
      <c r="I175" s="52"/>
      <c r="J175" s="53"/>
      <c r="K175" s="7" t="s">
        <v>46</v>
      </c>
      <c r="L175" s="52"/>
      <c r="M175" s="49"/>
      <c r="N175" s="5"/>
      <c r="O175" s="5"/>
      <c r="P175" s="5"/>
    </row>
    <row r="176" spans="1:16" ht="26.25" customHeight="1">
      <c r="A176" s="49"/>
      <c r="B176" s="53"/>
      <c r="C176" s="7" t="s">
        <v>27</v>
      </c>
      <c r="D176" s="12">
        <f t="shared" si="10"/>
        <v>0</v>
      </c>
      <c r="E176" s="12">
        <v>0</v>
      </c>
      <c r="F176" s="12">
        <v>0</v>
      </c>
      <c r="G176" s="12">
        <v>0</v>
      </c>
      <c r="H176" s="12">
        <v>0</v>
      </c>
      <c r="I176" s="52"/>
      <c r="J176" s="53"/>
      <c r="K176" s="7" t="s">
        <v>46</v>
      </c>
      <c r="L176" s="52"/>
      <c r="M176" s="49"/>
      <c r="N176" s="5"/>
      <c r="O176" s="5"/>
      <c r="P176" s="5"/>
    </row>
    <row r="177" spans="1:16" ht="38.25" customHeight="1">
      <c r="A177" s="49" t="s">
        <v>191</v>
      </c>
      <c r="B177" s="53" t="s">
        <v>192</v>
      </c>
      <c r="C177" s="7" t="s">
        <v>21</v>
      </c>
      <c r="D177" s="15">
        <f t="shared" si="10"/>
        <v>250</v>
      </c>
      <c r="E177" s="15">
        <v>0</v>
      </c>
      <c r="F177" s="15">
        <v>0</v>
      </c>
      <c r="G177" s="15">
        <v>250</v>
      </c>
      <c r="H177" s="15">
        <v>0</v>
      </c>
      <c r="I177" s="52" t="s">
        <v>193</v>
      </c>
      <c r="J177" s="53" t="s">
        <v>43</v>
      </c>
      <c r="K177" s="7">
        <v>1</v>
      </c>
      <c r="L177" s="52" t="s">
        <v>24</v>
      </c>
      <c r="M177" s="49" t="s">
        <v>180</v>
      </c>
      <c r="N177" s="5"/>
      <c r="O177" s="5"/>
      <c r="P177" s="5"/>
    </row>
    <row r="178" spans="1:16" ht="41.25" customHeight="1">
      <c r="A178" s="49"/>
      <c r="B178" s="53"/>
      <c r="C178" s="7" t="s">
        <v>26</v>
      </c>
      <c r="D178" s="15">
        <f t="shared" si="10"/>
        <v>0</v>
      </c>
      <c r="E178" s="15">
        <v>0</v>
      </c>
      <c r="F178" s="15">
        <v>0</v>
      </c>
      <c r="G178" s="15">
        <v>0</v>
      </c>
      <c r="H178" s="15">
        <v>0</v>
      </c>
      <c r="I178" s="52"/>
      <c r="J178" s="53"/>
      <c r="K178" s="7" t="s">
        <v>46</v>
      </c>
      <c r="L178" s="52"/>
      <c r="M178" s="49"/>
      <c r="N178" s="5"/>
      <c r="O178" s="5"/>
      <c r="P178" s="5"/>
    </row>
    <row r="179" spans="1:16" ht="36" customHeight="1">
      <c r="A179" s="49"/>
      <c r="B179" s="53"/>
      <c r="C179" s="7" t="s">
        <v>27</v>
      </c>
      <c r="D179" s="15">
        <f t="shared" si="10"/>
        <v>0</v>
      </c>
      <c r="E179" s="15">
        <v>0</v>
      </c>
      <c r="F179" s="15">
        <v>0</v>
      </c>
      <c r="G179" s="15">
        <v>0</v>
      </c>
      <c r="H179" s="15">
        <v>0</v>
      </c>
      <c r="I179" s="52"/>
      <c r="J179" s="53"/>
      <c r="K179" s="7" t="s">
        <v>46</v>
      </c>
      <c r="L179" s="52"/>
      <c r="M179" s="49"/>
      <c r="N179" s="5"/>
      <c r="O179" s="5"/>
      <c r="P179" s="5"/>
    </row>
    <row r="180" spans="1:16" ht="42" customHeight="1">
      <c r="A180" s="49" t="s">
        <v>194</v>
      </c>
      <c r="B180" s="53" t="s">
        <v>195</v>
      </c>
      <c r="C180" s="7" t="s">
        <v>21</v>
      </c>
      <c r="D180" s="12">
        <f t="shared" si="10"/>
        <v>1777.2</v>
      </c>
      <c r="E180" s="12">
        <v>0</v>
      </c>
      <c r="F180" s="12">
        <v>0</v>
      </c>
      <c r="G180" s="12">
        <v>1777.2</v>
      </c>
      <c r="H180" s="12">
        <v>0</v>
      </c>
      <c r="I180" s="52" t="s">
        <v>196</v>
      </c>
      <c r="J180" s="53" t="s">
        <v>197</v>
      </c>
      <c r="K180" s="7">
        <v>300</v>
      </c>
      <c r="L180" s="52" t="s">
        <v>24</v>
      </c>
      <c r="M180" s="49" t="s">
        <v>180</v>
      </c>
      <c r="N180" s="5"/>
      <c r="O180" s="5"/>
      <c r="P180" s="5"/>
    </row>
    <row r="181" spans="1:16" ht="42" customHeight="1">
      <c r="A181" s="49"/>
      <c r="B181" s="53"/>
      <c r="C181" s="7" t="s">
        <v>26</v>
      </c>
      <c r="D181" s="12">
        <f t="shared" si="10"/>
        <v>0</v>
      </c>
      <c r="E181" s="12">
        <v>0</v>
      </c>
      <c r="F181" s="12">
        <v>0</v>
      </c>
      <c r="G181" s="12">
        <v>0</v>
      </c>
      <c r="H181" s="12">
        <v>0</v>
      </c>
      <c r="I181" s="52"/>
      <c r="J181" s="53"/>
      <c r="K181" s="7" t="s">
        <v>46</v>
      </c>
      <c r="L181" s="52"/>
      <c r="M181" s="49"/>
      <c r="N181" s="5"/>
      <c r="O181" s="5"/>
      <c r="P181" s="5"/>
    </row>
    <row r="182" spans="1:16" ht="42" customHeight="1">
      <c r="A182" s="49"/>
      <c r="B182" s="53"/>
      <c r="C182" s="7" t="s">
        <v>27</v>
      </c>
      <c r="D182" s="12">
        <f t="shared" si="10"/>
        <v>0</v>
      </c>
      <c r="E182" s="12">
        <v>0</v>
      </c>
      <c r="F182" s="12">
        <v>0</v>
      </c>
      <c r="G182" s="12">
        <v>0</v>
      </c>
      <c r="H182" s="12">
        <v>0</v>
      </c>
      <c r="I182" s="52"/>
      <c r="J182" s="53"/>
      <c r="K182" s="7" t="s">
        <v>46</v>
      </c>
      <c r="L182" s="52"/>
      <c r="M182" s="49"/>
      <c r="N182" s="5"/>
      <c r="O182" s="5"/>
      <c r="P182" s="5"/>
    </row>
    <row r="183" spans="1:16" ht="21.75" customHeight="1">
      <c r="A183" s="68" t="s">
        <v>35</v>
      </c>
      <c r="B183" s="68"/>
      <c r="C183" s="16" t="s">
        <v>21</v>
      </c>
      <c r="D183" s="17">
        <f t="shared" si="10"/>
        <v>111933</v>
      </c>
      <c r="E183" s="17">
        <f t="shared" ref="E183:H185" si="11">E159+E162+E165+E168+E171+E174+E180+E177</f>
        <v>0</v>
      </c>
      <c r="F183" s="17">
        <f t="shared" si="11"/>
        <v>435.7</v>
      </c>
      <c r="G183" s="17">
        <f t="shared" si="11"/>
        <v>108997.3</v>
      </c>
      <c r="H183" s="17">
        <f t="shared" si="11"/>
        <v>2500</v>
      </c>
      <c r="I183" s="54" t="s">
        <v>36</v>
      </c>
      <c r="J183" s="54" t="s">
        <v>36</v>
      </c>
      <c r="K183" s="54" t="s">
        <v>36</v>
      </c>
      <c r="L183" s="54" t="s">
        <v>36</v>
      </c>
      <c r="M183" s="54" t="s">
        <v>36</v>
      </c>
      <c r="N183" s="5"/>
      <c r="O183" s="5"/>
      <c r="P183" s="5"/>
    </row>
    <row r="184" spans="1:16" ht="21.75" customHeight="1">
      <c r="A184" s="68"/>
      <c r="B184" s="68"/>
      <c r="C184" s="16" t="s">
        <v>26</v>
      </c>
      <c r="D184" s="17">
        <f t="shared" si="10"/>
        <v>93689.900000000009</v>
      </c>
      <c r="E184" s="17">
        <f t="shared" si="11"/>
        <v>0</v>
      </c>
      <c r="F184" s="17">
        <f t="shared" si="11"/>
        <v>380.3</v>
      </c>
      <c r="G184" s="17">
        <f t="shared" si="11"/>
        <v>90809.600000000006</v>
      </c>
      <c r="H184" s="17">
        <f t="shared" si="11"/>
        <v>2500</v>
      </c>
      <c r="I184" s="54"/>
      <c r="J184" s="54"/>
      <c r="K184" s="54"/>
      <c r="L184" s="54"/>
      <c r="M184" s="54"/>
      <c r="N184" s="5"/>
      <c r="O184" s="5"/>
      <c r="P184" s="5"/>
    </row>
    <row r="185" spans="1:16" ht="21.75" customHeight="1">
      <c r="A185" s="68"/>
      <c r="B185" s="68"/>
      <c r="C185" s="16" t="s">
        <v>27</v>
      </c>
      <c r="D185" s="17">
        <f t="shared" si="10"/>
        <v>93736.700000000012</v>
      </c>
      <c r="E185" s="17">
        <f t="shared" si="11"/>
        <v>0</v>
      </c>
      <c r="F185" s="17">
        <f t="shared" si="11"/>
        <v>427.1</v>
      </c>
      <c r="G185" s="17">
        <f t="shared" si="11"/>
        <v>90809.600000000006</v>
      </c>
      <c r="H185" s="17">
        <f t="shared" si="11"/>
        <v>2500</v>
      </c>
      <c r="I185" s="54"/>
      <c r="J185" s="54"/>
      <c r="K185" s="54"/>
      <c r="L185" s="54"/>
      <c r="M185" s="54"/>
      <c r="N185" s="5"/>
      <c r="O185" s="5"/>
      <c r="P185" s="5"/>
    </row>
    <row r="186" spans="1:16" ht="27.75" customHeight="1">
      <c r="A186" s="62" t="s">
        <v>198</v>
      </c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5"/>
      <c r="O186" s="5"/>
      <c r="P186" s="5"/>
    </row>
    <row r="187" spans="1:16" ht="17.25" customHeight="1">
      <c r="A187" s="49" t="s">
        <v>199</v>
      </c>
      <c r="B187" s="62" t="s">
        <v>200</v>
      </c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5"/>
      <c r="O187" s="5"/>
      <c r="P187" s="5"/>
    </row>
    <row r="188" spans="1:16" ht="17.25" customHeight="1">
      <c r="A188" s="49"/>
      <c r="B188" s="62" t="s">
        <v>71</v>
      </c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5"/>
      <c r="O188" s="5"/>
      <c r="P188" s="5"/>
    </row>
    <row r="189" spans="1:16" ht="26.25" customHeight="1">
      <c r="A189" s="49" t="s">
        <v>201</v>
      </c>
      <c r="B189" s="72" t="s">
        <v>202</v>
      </c>
      <c r="C189" s="7" t="s">
        <v>21</v>
      </c>
      <c r="D189" s="12">
        <f t="shared" ref="D189:D194" si="12">SUM(E189:H189)</f>
        <v>15182.7</v>
      </c>
      <c r="E189" s="12">
        <v>0</v>
      </c>
      <c r="F189" s="12">
        <v>0</v>
      </c>
      <c r="G189" s="12">
        <f>15362-179.3</f>
        <v>15182.7</v>
      </c>
      <c r="H189" s="12">
        <v>0</v>
      </c>
      <c r="I189" s="52" t="s">
        <v>203</v>
      </c>
      <c r="J189" s="53" t="s">
        <v>46</v>
      </c>
      <c r="K189" s="7" t="s">
        <v>46</v>
      </c>
      <c r="L189" s="53" t="s">
        <v>46</v>
      </c>
      <c r="M189" s="72" t="s">
        <v>204</v>
      </c>
      <c r="N189" s="5"/>
      <c r="O189" s="27"/>
      <c r="P189" s="5"/>
    </row>
    <row r="190" spans="1:16" ht="26.25" customHeight="1">
      <c r="A190" s="49"/>
      <c r="B190" s="72"/>
      <c r="C190" s="7" t="s">
        <v>26</v>
      </c>
      <c r="D190" s="12">
        <f t="shared" si="12"/>
        <v>16056.5</v>
      </c>
      <c r="E190" s="12">
        <v>0</v>
      </c>
      <c r="F190" s="12">
        <v>0</v>
      </c>
      <c r="G190" s="12">
        <v>16056.5</v>
      </c>
      <c r="H190" s="12">
        <v>0</v>
      </c>
      <c r="I190" s="52"/>
      <c r="J190" s="53"/>
      <c r="K190" s="7" t="s">
        <v>46</v>
      </c>
      <c r="L190" s="53"/>
      <c r="M190" s="72"/>
      <c r="N190" s="5"/>
      <c r="O190" s="5"/>
      <c r="P190" s="5"/>
    </row>
    <row r="191" spans="1:16" ht="26.25" customHeight="1">
      <c r="A191" s="49"/>
      <c r="B191" s="72"/>
      <c r="C191" s="7" t="s">
        <v>27</v>
      </c>
      <c r="D191" s="12">
        <f t="shared" si="12"/>
        <v>16056.5</v>
      </c>
      <c r="E191" s="12">
        <v>0</v>
      </c>
      <c r="F191" s="12">
        <v>0</v>
      </c>
      <c r="G191" s="12">
        <v>16056.5</v>
      </c>
      <c r="H191" s="12">
        <v>0</v>
      </c>
      <c r="I191" s="52"/>
      <c r="J191" s="53"/>
      <c r="K191" s="7" t="s">
        <v>46</v>
      </c>
      <c r="L191" s="53"/>
      <c r="M191" s="72"/>
      <c r="N191" s="5"/>
      <c r="O191" s="5"/>
      <c r="P191" s="5"/>
    </row>
    <row r="192" spans="1:16" ht="20.25" customHeight="1">
      <c r="A192" s="68" t="s">
        <v>35</v>
      </c>
      <c r="B192" s="68"/>
      <c r="C192" s="16" t="s">
        <v>21</v>
      </c>
      <c r="D192" s="17">
        <f t="shared" si="12"/>
        <v>15182.7</v>
      </c>
      <c r="E192" s="17">
        <f t="shared" ref="E192:H194" si="13">E189</f>
        <v>0</v>
      </c>
      <c r="F192" s="17">
        <f t="shared" si="13"/>
        <v>0</v>
      </c>
      <c r="G192" s="17">
        <f t="shared" si="13"/>
        <v>15182.7</v>
      </c>
      <c r="H192" s="17">
        <f t="shared" si="13"/>
        <v>0</v>
      </c>
      <c r="I192" s="54" t="s">
        <v>36</v>
      </c>
      <c r="J192" s="54" t="s">
        <v>36</v>
      </c>
      <c r="K192" s="54" t="s">
        <v>36</v>
      </c>
      <c r="L192" s="54" t="s">
        <v>36</v>
      </c>
      <c r="M192" s="54" t="s">
        <v>36</v>
      </c>
      <c r="N192" s="5"/>
      <c r="O192" s="5"/>
      <c r="P192" s="5"/>
    </row>
    <row r="193" spans="1:16" ht="20.25" customHeight="1">
      <c r="A193" s="68"/>
      <c r="B193" s="68"/>
      <c r="C193" s="16" t="s">
        <v>26</v>
      </c>
      <c r="D193" s="17">
        <f t="shared" si="12"/>
        <v>16056.5</v>
      </c>
      <c r="E193" s="17">
        <f t="shared" si="13"/>
        <v>0</v>
      </c>
      <c r="F193" s="17">
        <f t="shared" si="13"/>
        <v>0</v>
      </c>
      <c r="G193" s="17">
        <f t="shared" si="13"/>
        <v>16056.5</v>
      </c>
      <c r="H193" s="17">
        <f t="shared" si="13"/>
        <v>0</v>
      </c>
      <c r="I193" s="54"/>
      <c r="J193" s="54"/>
      <c r="K193" s="54"/>
      <c r="L193" s="54"/>
      <c r="M193" s="54"/>
      <c r="N193" s="5"/>
      <c r="O193" s="5"/>
      <c r="P193" s="5"/>
    </row>
    <row r="194" spans="1:16" ht="20.25" customHeight="1">
      <c r="A194" s="68"/>
      <c r="B194" s="68"/>
      <c r="C194" s="16" t="s">
        <v>27</v>
      </c>
      <c r="D194" s="17">
        <f t="shared" si="12"/>
        <v>16056.5</v>
      </c>
      <c r="E194" s="17">
        <f t="shared" si="13"/>
        <v>0</v>
      </c>
      <c r="F194" s="17">
        <f t="shared" si="13"/>
        <v>0</v>
      </c>
      <c r="G194" s="17">
        <f t="shared" si="13"/>
        <v>16056.5</v>
      </c>
      <c r="H194" s="17">
        <f t="shared" si="13"/>
        <v>0</v>
      </c>
      <c r="I194" s="54"/>
      <c r="J194" s="54"/>
      <c r="K194" s="54"/>
      <c r="L194" s="54"/>
      <c r="M194" s="54"/>
      <c r="N194" s="5"/>
      <c r="O194" s="5"/>
      <c r="P194" s="5"/>
    </row>
    <row r="195" spans="1:16" ht="30.75" customHeight="1">
      <c r="A195" s="62" t="s">
        <v>205</v>
      </c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5"/>
      <c r="O195" s="5"/>
      <c r="P195" s="5"/>
    </row>
    <row r="196" spans="1:16" ht="20.25" customHeight="1">
      <c r="A196" s="49" t="s">
        <v>206</v>
      </c>
      <c r="B196" s="62" t="s">
        <v>207</v>
      </c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5"/>
      <c r="O196" s="5"/>
      <c r="P196" s="5"/>
    </row>
    <row r="197" spans="1:16" ht="20.25" customHeight="1">
      <c r="A197" s="49"/>
      <c r="B197" s="62" t="s">
        <v>71</v>
      </c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5"/>
      <c r="O197" s="5"/>
      <c r="P197" s="5"/>
    </row>
    <row r="198" spans="1:16" ht="24" customHeight="1">
      <c r="A198" s="49" t="s">
        <v>208</v>
      </c>
      <c r="B198" s="53" t="s">
        <v>209</v>
      </c>
      <c r="C198" s="7" t="s">
        <v>21</v>
      </c>
      <c r="D198" s="12">
        <f t="shared" ref="D198:D203" si="14">SUM(E198:H198)</f>
        <v>63924.9</v>
      </c>
      <c r="E198" s="12">
        <v>0</v>
      </c>
      <c r="F198" s="12">
        <f>23052.5-793.1+1051-32.7+408.2</f>
        <v>23685.9</v>
      </c>
      <c r="G198" s="12">
        <f>37899.7+2781.8-442.5</f>
        <v>40239</v>
      </c>
      <c r="H198" s="12">
        <v>0</v>
      </c>
      <c r="I198" s="52" t="s">
        <v>210</v>
      </c>
      <c r="J198" s="53" t="s">
        <v>46</v>
      </c>
      <c r="K198" s="7" t="s">
        <v>46</v>
      </c>
      <c r="L198" s="53" t="s">
        <v>46</v>
      </c>
      <c r="M198" s="72" t="s">
        <v>204</v>
      </c>
      <c r="N198" s="5"/>
      <c r="O198" s="5"/>
      <c r="P198" s="5"/>
    </row>
    <row r="199" spans="1:16" ht="24" customHeight="1">
      <c r="A199" s="49"/>
      <c r="B199" s="53"/>
      <c r="C199" s="7" t="s">
        <v>26</v>
      </c>
      <c r="D199" s="12">
        <f t="shared" si="14"/>
        <v>64178.2</v>
      </c>
      <c r="E199" s="12">
        <v>0</v>
      </c>
      <c r="F199" s="12">
        <f>24699.1-582.2+1064.7-69.1</f>
        <v>25112.5</v>
      </c>
      <c r="G199" s="12">
        <v>39065.699999999997</v>
      </c>
      <c r="H199" s="12">
        <v>0</v>
      </c>
      <c r="I199" s="52"/>
      <c r="J199" s="53"/>
      <c r="K199" s="7" t="s">
        <v>46</v>
      </c>
      <c r="L199" s="53"/>
      <c r="M199" s="72"/>
      <c r="N199" s="5"/>
      <c r="O199" s="5"/>
      <c r="P199" s="5"/>
    </row>
    <row r="200" spans="1:16" ht="24" customHeight="1">
      <c r="A200" s="49"/>
      <c r="B200" s="53"/>
      <c r="C200" s="7" t="s">
        <v>27</v>
      </c>
      <c r="D200" s="12">
        <f t="shared" si="14"/>
        <v>65193</v>
      </c>
      <c r="E200" s="12">
        <v>0</v>
      </c>
      <c r="F200" s="12">
        <f>25665.1-88.1+1064.7-69</f>
        <v>26572.7</v>
      </c>
      <c r="G200" s="12">
        <v>38620.300000000003</v>
      </c>
      <c r="H200" s="12">
        <v>0</v>
      </c>
      <c r="I200" s="52"/>
      <c r="J200" s="53"/>
      <c r="K200" s="7" t="s">
        <v>46</v>
      </c>
      <c r="L200" s="53"/>
      <c r="M200" s="72"/>
      <c r="N200" s="5"/>
      <c r="O200" s="5"/>
      <c r="P200" s="5"/>
    </row>
    <row r="201" spans="1:16" ht="22.9" customHeight="1">
      <c r="A201" s="68" t="s">
        <v>35</v>
      </c>
      <c r="B201" s="68"/>
      <c r="C201" s="16" t="s">
        <v>21</v>
      </c>
      <c r="D201" s="17">
        <f t="shared" si="14"/>
        <v>63924.9</v>
      </c>
      <c r="E201" s="17">
        <f t="shared" ref="E201:H203" si="15">E198</f>
        <v>0</v>
      </c>
      <c r="F201" s="17">
        <f t="shared" si="15"/>
        <v>23685.9</v>
      </c>
      <c r="G201" s="17">
        <f t="shared" si="15"/>
        <v>40239</v>
      </c>
      <c r="H201" s="17">
        <f t="shared" si="15"/>
        <v>0</v>
      </c>
      <c r="I201" s="54" t="s">
        <v>36</v>
      </c>
      <c r="J201" s="54" t="s">
        <v>36</v>
      </c>
      <c r="K201" s="54" t="s">
        <v>36</v>
      </c>
      <c r="L201" s="54" t="s">
        <v>36</v>
      </c>
      <c r="M201" s="54" t="s">
        <v>36</v>
      </c>
      <c r="N201" s="5"/>
      <c r="O201" s="5"/>
      <c r="P201" s="5"/>
    </row>
    <row r="202" spans="1:16" ht="22.9" customHeight="1">
      <c r="A202" s="68"/>
      <c r="B202" s="68"/>
      <c r="C202" s="16" t="s">
        <v>26</v>
      </c>
      <c r="D202" s="17">
        <f t="shared" si="14"/>
        <v>64178.2</v>
      </c>
      <c r="E202" s="17">
        <f t="shared" si="15"/>
        <v>0</v>
      </c>
      <c r="F202" s="17">
        <f t="shared" si="15"/>
        <v>25112.5</v>
      </c>
      <c r="G202" s="17">
        <f t="shared" si="15"/>
        <v>39065.699999999997</v>
      </c>
      <c r="H202" s="17">
        <f t="shared" si="15"/>
        <v>0</v>
      </c>
      <c r="I202" s="54"/>
      <c r="J202" s="54"/>
      <c r="K202" s="54"/>
      <c r="L202" s="54"/>
      <c r="M202" s="54"/>
      <c r="N202" s="5"/>
      <c r="O202" s="5"/>
      <c r="P202" s="5"/>
    </row>
    <row r="203" spans="1:16" ht="22.9" customHeight="1">
      <c r="A203" s="68"/>
      <c r="B203" s="68"/>
      <c r="C203" s="16" t="s">
        <v>27</v>
      </c>
      <c r="D203" s="17">
        <f t="shared" si="14"/>
        <v>65193</v>
      </c>
      <c r="E203" s="17">
        <f t="shared" si="15"/>
        <v>0</v>
      </c>
      <c r="F203" s="17">
        <f t="shared" si="15"/>
        <v>26572.7</v>
      </c>
      <c r="G203" s="17">
        <f t="shared" si="15"/>
        <v>38620.300000000003</v>
      </c>
      <c r="H203" s="17">
        <f t="shared" si="15"/>
        <v>0</v>
      </c>
      <c r="I203" s="54"/>
      <c r="J203" s="54"/>
      <c r="K203" s="54"/>
      <c r="L203" s="54"/>
      <c r="M203" s="54"/>
      <c r="N203" s="5"/>
      <c r="O203" s="5"/>
      <c r="P203" s="5"/>
    </row>
    <row r="204" spans="1:16" ht="24.75" customHeight="1">
      <c r="A204" s="62" t="s">
        <v>211</v>
      </c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5"/>
      <c r="O204" s="5"/>
      <c r="P204" s="5"/>
    </row>
    <row r="205" spans="1:16" ht="18" customHeight="1">
      <c r="A205" s="49" t="s">
        <v>212</v>
      </c>
      <c r="B205" s="62" t="s">
        <v>213</v>
      </c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5"/>
      <c r="O205" s="5"/>
      <c r="P205" s="5"/>
    </row>
    <row r="206" spans="1:16" ht="18" customHeight="1">
      <c r="A206" s="49"/>
      <c r="B206" s="62" t="s">
        <v>71</v>
      </c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5"/>
      <c r="O206" s="5"/>
      <c r="P206" s="5"/>
    </row>
    <row r="207" spans="1:16" ht="27.75" customHeight="1">
      <c r="A207" s="49" t="s">
        <v>214</v>
      </c>
      <c r="B207" s="53" t="s">
        <v>215</v>
      </c>
      <c r="C207" s="7" t="s">
        <v>21</v>
      </c>
      <c r="D207" s="12">
        <f t="shared" ref="D207:D221" si="16">SUM(E207:H207)</f>
        <v>8163.2000000000007</v>
      </c>
      <c r="E207" s="12">
        <v>0</v>
      </c>
      <c r="F207" s="12">
        <v>0</v>
      </c>
      <c r="G207" s="12">
        <f>7305+532.2+400-74</f>
        <v>8163.2000000000007</v>
      </c>
      <c r="H207" s="12">
        <v>0</v>
      </c>
      <c r="I207" s="52" t="s">
        <v>216</v>
      </c>
      <c r="J207" s="73" t="s">
        <v>46</v>
      </c>
      <c r="K207" s="7" t="s">
        <v>46</v>
      </c>
      <c r="L207" s="50" t="s">
        <v>46</v>
      </c>
      <c r="M207" s="49" t="s">
        <v>204</v>
      </c>
      <c r="N207" s="5"/>
      <c r="O207" s="27"/>
      <c r="P207" s="5"/>
    </row>
    <row r="208" spans="1:16" ht="27.75" customHeight="1">
      <c r="A208" s="49"/>
      <c r="B208" s="53"/>
      <c r="C208" s="7" t="s">
        <v>26</v>
      </c>
      <c r="D208" s="12">
        <f t="shared" si="16"/>
        <v>7640</v>
      </c>
      <c r="E208" s="12">
        <v>0</v>
      </c>
      <c r="F208" s="12">
        <v>0</v>
      </c>
      <c r="G208" s="12">
        <v>7640</v>
      </c>
      <c r="H208" s="12">
        <v>0</v>
      </c>
      <c r="I208" s="52"/>
      <c r="J208" s="73"/>
      <c r="K208" s="7" t="s">
        <v>46</v>
      </c>
      <c r="L208" s="50"/>
      <c r="M208" s="49"/>
      <c r="N208" s="5"/>
      <c r="O208" s="5"/>
      <c r="P208" s="5"/>
    </row>
    <row r="209" spans="1:16" ht="27.75" customHeight="1">
      <c r="A209" s="49"/>
      <c r="B209" s="53"/>
      <c r="C209" s="7" t="s">
        <v>27</v>
      </c>
      <c r="D209" s="12">
        <f t="shared" si="16"/>
        <v>7640</v>
      </c>
      <c r="E209" s="12">
        <v>0</v>
      </c>
      <c r="F209" s="12">
        <v>0</v>
      </c>
      <c r="G209" s="12">
        <v>7640</v>
      </c>
      <c r="H209" s="12">
        <v>0</v>
      </c>
      <c r="I209" s="52"/>
      <c r="J209" s="73"/>
      <c r="K209" s="7" t="s">
        <v>46</v>
      </c>
      <c r="L209" s="50"/>
      <c r="M209" s="49"/>
      <c r="N209" s="5"/>
      <c r="O209" s="5"/>
      <c r="P209" s="5"/>
    </row>
    <row r="210" spans="1:16" ht="30" customHeight="1">
      <c r="A210" s="49" t="s">
        <v>217</v>
      </c>
      <c r="B210" s="53" t="s">
        <v>218</v>
      </c>
      <c r="C210" s="7" t="s">
        <v>21</v>
      </c>
      <c r="D210" s="12">
        <f t="shared" si="16"/>
        <v>540</v>
      </c>
      <c r="E210" s="12">
        <v>0</v>
      </c>
      <c r="F210" s="12">
        <v>0</v>
      </c>
      <c r="G210" s="12">
        <v>540</v>
      </c>
      <c r="H210" s="12">
        <v>0</v>
      </c>
      <c r="I210" s="52" t="s">
        <v>219</v>
      </c>
      <c r="J210" s="53" t="s">
        <v>31</v>
      </c>
      <c r="K210" s="7">
        <v>9</v>
      </c>
      <c r="L210" s="52" t="s">
        <v>24</v>
      </c>
      <c r="M210" s="49" t="s">
        <v>220</v>
      </c>
      <c r="N210" s="5"/>
      <c r="O210" s="5"/>
      <c r="P210" s="5"/>
    </row>
    <row r="211" spans="1:16" ht="30" customHeight="1">
      <c r="A211" s="49"/>
      <c r="B211" s="53"/>
      <c r="C211" s="7" t="s">
        <v>26</v>
      </c>
      <c r="D211" s="12">
        <f t="shared" si="16"/>
        <v>540</v>
      </c>
      <c r="E211" s="12">
        <v>0</v>
      </c>
      <c r="F211" s="12">
        <v>0</v>
      </c>
      <c r="G211" s="12">
        <v>540</v>
      </c>
      <c r="H211" s="12">
        <v>0</v>
      </c>
      <c r="I211" s="52"/>
      <c r="J211" s="53"/>
      <c r="K211" s="7">
        <v>9</v>
      </c>
      <c r="L211" s="52"/>
      <c r="M211" s="49"/>
      <c r="N211" s="5"/>
      <c r="O211" s="5"/>
      <c r="P211" s="5"/>
    </row>
    <row r="212" spans="1:16" ht="30" customHeight="1">
      <c r="A212" s="49"/>
      <c r="B212" s="53"/>
      <c r="C212" s="7" t="s">
        <v>27</v>
      </c>
      <c r="D212" s="12">
        <f t="shared" si="16"/>
        <v>540</v>
      </c>
      <c r="E212" s="12">
        <v>0</v>
      </c>
      <c r="F212" s="12">
        <v>0</v>
      </c>
      <c r="G212" s="12">
        <v>540</v>
      </c>
      <c r="H212" s="12">
        <v>0</v>
      </c>
      <c r="I212" s="52"/>
      <c r="J212" s="53"/>
      <c r="K212" s="7">
        <v>9</v>
      </c>
      <c r="L212" s="52"/>
      <c r="M212" s="49"/>
      <c r="N212" s="5"/>
      <c r="O212" s="5"/>
      <c r="P212" s="5"/>
    </row>
    <row r="213" spans="1:16" ht="69.400000000000006" customHeight="1">
      <c r="A213" s="49" t="s">
        <v>221</v>
      </c>
      <c r="B213" s="53" t="s">
        <v>147</v>
      </c>
      <c r="C213" s="7" t="s">
        <v>21</v>
      </c>
      <c r="D213" s="12">
        <f t="shared" si="16"/>
        <v>172.6</v>
      </c>
      <c r="E213" s="12">
        <v>0</v>
      </c>
      <c r="F213" s="12">
        <v>172.6</v>
      </c>
      <c r="G213" s="12">
        <v>0</v>
      </c>
      <c r="H213" s="12">
        <v>0</v>
      </c>
      <c r="I213" s="9" t="s">
        <v>149</v>
      </c>
      <c r="J213" s="10" t="s">
        <v>31</v>
      </c>
      <c r="K213" s="7">
        <v>54</v>
      </c>
      <c r="L213" s="52" t="s">
        <v>24</v>
      </c>
      <c r="M213" s="49" t="s">
        <v>222</v>
      </c>
      <c r="N213" s="5"/>
      <c r="O213" s="5"/>
      <c r="P213" s="5"/>
    </row>
    <row r="214" spans="1:16" ht="69.400000000000006" customHeight="1">
      <c r="A214" s="49"/>
      <c r="B214" s="53"/>
      <c r="C214" s="7" t="s">
        <v>26</v>
      </c>
      <c r="D214" s="12">
        <f t="shared" si="16"/>
        <v>0</v>
      </c>
      <c r="E214" s="12">
        <v>0</v>
      </c>
      <c r="F214" s="12">
        <v>0</v>
      </c>
      <c r="G214" s="12">
        <v>0</v>
      </c>
      <c r="H214" s="12">
        <v>0</v>
      </c>
      <c r="I214" s="9" t="s">
        <v>149</v>
      </c>
      <c r="J214" s="10" t="s">
        <v>31</v>
      </c>
      <c r="K214" s="7" t="s">
        <v>46</v>
      </c>
      <c r="L214" s="52"/>
      <c r="M214" s="49"/>
      <c r="N214" s="5"/>
      <c r="O214" s="5"/>
      <c r="P214" s="5"/>
    </row>
    <row r="215" spans="1:16" ht="115.5" customHeight="1">
      <c r="A215" s="49"/>
      <c r="B215" s="53"/>
      <c r="C215" s="7" t="s">
        <v>27</v>
      </c>
      <c r="D215" s="12">
        <f t="shared" si="16"/>
        <v>0</v>
      </c>
      <c r="E215" s="12">
        <v>0</v>
      </c>
      <c r="F215" s="12">
        <v>0</v>
      </c>
      <c r="G215" s="12">
        <v>0</v>
      </c>
      <c r="H215" s="12">
        <v>0</v>
      </c>
      <c r="I215" s="9" t="s">
        <v>149</v>
      </c>
      <c r="J215" s="10" t="s">
        <v>31</v>
      </c>
      <c r="K215" s="7" t="s">
        <v>46</v>
      </c>
      <c r="L215" s="52"/>
      <c r="M215" s="49"/>
      <c r="N215" s="5"/>
      <c r="O215" s="5"/>
      <c r="P215" s="5"/>
    </row>
    <row r="216" spans="1:16" ht="69.400000000000006" customHeight="1">
      <c r="A216" s="49" t="s">
        <v>223</v>
      </c>
      <c r="B216" s="53" t="s">
        <v>224</v>
      </c>
      <c r="C216" s="7" t="s">
        <v>21</v>
      </c>
      <c r="D216" s="12">
        <f t="shared" si="16"/>
        <v>87.6</v>
      </c>
      <c r="E216" s="12">
        <v>0</v>
      </c>
      <c r="F216" s="12">
        <v>0</v>
      </c>
      <c r="G216" s="12">
        <v>87.6</v>
      </c>
      <c r="H216" s="12">
        <v>0</v>
      </c>
      <c r="I216" s="52" t="s">
        <v>225</v>
      </c>
      <c r="J216" s="53" t="s">
        <v>31</v>
      </c>
      <c r="K216" s="7">
        <v>10</v>
      </c>
      <c r="L216" s="52" t="s">
        <v>24</v>
      </c>
      <c r="M216" s="49" t="s">
        <v>226</v>
      </c>
      <c r="N216" s="5"/>
      <c r="O216" s="5"/>
      <c r="P216" s="5"/>
    </row>
    <row r="217" spans="1:16" ht="69.400000000000006" customHeight="1">
      <c r="A217" s="49"/>
      <c r="B217" s="53"/>
      <c r="C217" s="7" t="s">
        <v>26</v>
      </c>
      <c r="D217" s="12">
        <f t="shared" si="16"/>
        <v>0</v>
      </c>
      <c r="E217" s="12">
        <v>0</v>
      </c>
      <c r="F217" s="12">
        <v>0</v>
      </c>
      <c r="G217" s="12">
        <v>0</v>
      </c>
      <c r="H217" s="12">
        <v>0</v>
      </c>
      <c r="I217" s="52"/>
      <c r="J217" s="53"/>
      <c r="K217" s="7" t="s">
        <v>46</v>
      </c>
      <c r="L217" s="52"/>
      <c r="M217" s="49"/>
      <c r="N217" s="5"/>
      <c r="O217" s="5"/>
      <c r="P217" s="5"/>
    </row>
    <row r="218" spans="1:16" ht="69.400000000000006" customHeight="1">
      <c r="A218" s="49"/>
      <c r="B218" s="53"/>
      <c r="C218" s="7" t="s">
        <v>27</v>
      </c>
      <c r="D218" s="12">
        <f t="shared" si="16"/>
        <v>0</v>
      </c>
      <c r="E218" s="12">
        <v>0</v>
      </c>
      <c r="F218" s="12">
        <v>0</v>
      </c>
      <c r="G218" s="12">
        <v>0</v>
      </c>
      <c r="H218" s="12">
        <v>0</v>
      </c>
      <c r="I218" s="52"/>
      <c r="J218" s="53"/>
      <c r="K218" s="7" t="s">
        <v>46</v>
      </c>
      <c r="L218" s="52"/>
      <c r="M218" s="49"/>
      <c r="N218" s="5"/>
      <c r="O218" s="5"/>
      <c r="P218" s="5"/>
    </row>
    <row r="219" spans="1:16" ht="21.95" customHeight="1">
      <c r="A219" s="68" t="s">
        <v>35</v>
      </c>
      <c r="B219" s="68"/>
      <c r="C219" s="16" t="s">
        <v>21</v>
      </c>
      <c r="D219" s="17">
        <f t="shared" si="16"/>
        <v>8963.4000000000015</v>
      </c>
      <c r="E219" s="17">
        <f t="shared" ref="E219:H221" si="17">E207+E210+E213+E216</f>
        <v>0</v>
      </c>
      <c r="F219" s="17">
        <f t="shared" si="17"/>
        <v>172.6</v>
      </c>
      <c r="G219" s="17">
        <f t="shared" si="17"/>
        <v>8790.8000000000011</v>
      </c>
      <c r="H219" s="17">
        <f t="shared" si="17"/>
        <v>0</v>
      </c>
      <c r="I219" s="54" t="s">
        <v>36</v>
      </c>
      <c r="J219" s="54" t="s">
        <v>36</v>
      </c>
      <c r="K219" s="54" t="s">
        <v>36</v>
      </c>
      <c r="L219" s="54" t="s">
        <v>36</v>
      </c>
      <c r="M219" s="54" t="s">
        <v>36</v>
      </c>
      <c r="N219" s="5"/>
      <c r="O219" s="27"/>
      <c r="P219" s="5"/>
    </row>
    <row r="220" spans="1:16" ht="21.95" customHeight="1">
      <c r="A220" s="68"/>
      <c r="B220" s="68"/>
      <c r="C220" s="16" t="s">
        <v>26</v>
      </c>
      <c r="D220" s="17">
        <f t="shared" si="16"/>
        <v>8180</v>
      </c>
      <c r="E220" s="17">
        <f t="shared" si="17"/>
        <v>0</v>
      </c>
      <c r="F220" s="17">
        <f t="shared" si="17"/>
        <v>0</v>
      </c>
      <c r="G220" s="17">
        <f t="shared" si="17"/>
        <v>8180</v>
      </c>
      <c r="H220" s="17">
        <f t="shared" si="17"/>
        <v>0</v>
      </c>
      <c r="I220" s="54"/>
      <c r="J220" s="54"/>
      <c r="K220" s="54"/>
      <c r="L220" s="54"/>
      <c r="M220" s="54"/>
      <c r="N220" s="5"/>
      <c r="O220" s="5"/>
      <c r="P220" s="5"/>
    </row>
    <row r="221" spans="1:16" ht="21.95" customHeight="1">
      <c r="A221" s="68"/>
      <c r="B221" s="68"/>
      <c r="C221" s="16" t="s">
        <v>27</v>
      </c>
      <c r="D221" s="17">
        <f t="shared" si="16"/>
        <v>8180</v>
      </c>
      <c r="E221" s="17">
        <f t="shared" si="17"/>
        <v>0</v>
      </c>
      <c r="F221" s="17">
        <f t="shared" si="17"/>
        <v>0</v>
      </c>
      <c r="G221" s="17">
        <f t="shared" si="17"/>
        <v>8180</v>
      </c>
      <c r="H221" s="17">
        <f t="shared" si="17"/>
        <v>0</v>
      </c>
      <c r="I221" s="54"/>
      <c r="J221" s="54"/>
      <c r="K221" s="54"/>
      <c r="L221" s="54"/>
      <c r="M221" s="54"/>
      <c r="N221" s="5"/>
      <c r="O221" s="5"/>
      <c r="P221" s="5"/>
    </row>
    <row r="222" spans="1:16" ht="27" customHeight="1">
      <c r="A222" s="62" t="s">
        <v>227</v>
      </c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5"/>
      <c r="O222" s="5"/>
      <c r="P222" s="5"/>
    </row>
    <row r="223" spans="1:16" ht="18" customHeight="1">
      <c r="A223" s="49" t="s">
        <v>228</v>
      </c>
      <c r="B223" s="62" t="s">
        <v>229</v>
      </c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5"/>
      <c r="O223" s="5"/>
      <c r="P223" s="5"/>
    </row>
    <row r="224" spans="1:16" ht="18" customHeight="1">
      <c r="A224" s="49"/>
      <c r="B224" s="62" t="s">
        <v>71</v>
      </c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5"/>
      <c r="O224" s="5"/>
      <c r="P224" s="5"/>
    </row>
    <row r="225" spans="1:16" ht="27" customHeight="1">
      <c r="A225" s="49" t="s">
        <v>230</v>
      </c>
      <c r="B225" s="53" t="s">
        <v>231</v>
      </c>
      <c r="C225" s="7" t="s">
        <v>21</v>
      </c>
      <c r="D225" s="12">
        <f t="shared" ref="D225:D239" si="18">SUM(E225:H225)</f>
        <v>59.8</v>
      </c>
      <c r="E225" s="12">
        <v>0</v>
      </c>
      <c r="F225" s="12">
        <v>0</v>
      </c>
      <c r="G225" s="12">
        <v>59.8</v>
      </c>
      <c r="H225" s="12">
        <v>0</v>
      </c>
      <c r="I225" s="52" t="s">
        <v>232</v>
      </c>
      <c r="J225" s="71" t="s">
        <v>23</v>
      </c>
      <c r="K225" s="7">
        <v>100</v>
      </c>
      <c r="L225" s="52" t="s">
        <v>24</v>
      </c>
      <c r="M225" s="49" t="s">
        <v>226</v>
      </c>
      <c r="N225" s="5"/>
      <c r="O225" s="5"/>
      <c r="P225" s="5"/>
    </row>
    <row r="226" spans="1:16" ht="27" customHeight="1">
      <c r="A226" s="49"/>
      <c r="B226" s="53"/>
      <c r="C226" s="7" t="s">
        <v>26</v>
      </c>
      <c r="D226" s="12">
        <f t="shared" si="18"/>
        <v>59.8</v>
      </c>
      <c r="E226" s="12">
        <v>0</v>
      </c>
      <c r="F226" s="12">
        <v>0</v>
      </c>
      <c r="G226" s="12">
        <v>59.8</v>
      </c>
      <c r="H226" s="12">
        <v>0</v>
      </c>
      <c r="I226" s="52"/>
      <c r="J226" s="71"/>
      <c r="K226" s="7">
        <v>100</v>
      </c>
      <c r="L226" s="52"/>
      <c r="M226" s="49"/>
      <c r="N226" s="5"/>
      <c r="O226" s="5"/>
      <c r="P226" s="5"/>
    </row>
    <row r="227" spans="1:16" ht="27" customHeight="1">
      <c r="A227" s="49"/>
      <c r="B227" s="53"/>
      <c r="C227" s="7" t="s">
        <v>27</v>
      </c>
      <c r="D227" s="12">
        <f t="shared" si="18"/>
        <v>59.8</v>
      </c>
      <c r="E227" s="12">
        <v>0</v>
      </c>
      <c r="F227" s="12">
        <v>0</v>
      </c>
      <c r="G227" s="12">
        <v>59.8</v>
      </c>
      <c r="H227" s="12">
        <v>0</v>
      </c>
      <c r="I227" s="52"/>
      <c r="J227" s="71"/>
      <c r="K227" s="7">
        <v>100</v>
      </c>
      <c r="L227" s="52"/>
      <c r="M227" s="49"/>
      <c r="N227" s="5"/>
      <c r="O227" s="5"/>
      <c r="P227" s="5"/>
    </row>
    <row r="228" spans="1:16" ht="49.5" customHeight="1">
      <c r="A228" s="49" t="s">
        <v>233</v>
      </c>
      <c r="B228" s="53" t="s">
        <v>234</v>
      </c>
      <c r="C228" s="7" t="s">
        <v>21</v>
      </c>
      <c r="D228" s="12">
        <f t="shared" si="18"/>
        <v>70</v>
      </c>
      <c r="E228" s="12">
        <v>0</v>
      </c>
      <c r="F228" s="12">
        <v>0</v>
      </c>
      <c r="G228" s="12">
        <v>70</v>
      </c>
      <c r="H228" s="12">
        <v>0</v>
      </c>
      <c r="I228" s="52" t="s">
        <v>232</v>
      </c>
      <c r="J228" s="71" t="s">
        <v>23</v>
      </c>
      <c r="K228" s="7">
        <v>100</v>
      </c>
      <c r="L228" s="52" t="s">
        <v>24</v>
      </c>
      <c r="M228" s="49" t="s">
        <v>235</v>
      </c>
      <c r="N228" s="5"/>
      <c r="O228" s="5"/>
      <c r="P228" s="5"/>
    </row>
    <row r="229" spans="1:16" ht="49.5" customHeight="1">
      <c r="A229" s="49"/>
      <c r="B229" s="53"/>
      <c r="C229" s="7" t="s">
        <v>26</v>
      </c>
      <c r="D229" s="12">
        <f t="shared" si="18"/>
        <v>70</v>
      </c>
      <c r="E229" s="12">
        <v>0</v>
      </c>
      <c r="F229" s="12">
        <v>0</v>
      </c>
      <c r="G229" s="12">
        <v>70</v>
      </c>
      <c r="H229" s="12">
        <v>0</v>
      </c>
      <c r="I229" s="52"/>
      <c r="J229" s="71"/>
      <c r="K229" s="7">
        <v>100</v>
      </c>
      <c r="L229" s="52"/>
      <c r="M229" s="49"/>
      <c r="N229" s="5"/>
      <c r="O229" s="5"/>
      <c r="P229" s="5"/>
    </row>
    <row r="230" spans="1:16" ht="55.5" customHeight="1">
      <c r="A230" s="49"/>
      <c r="B230" s="53"/>
      <c r="C230" s="7" t="s">
        <v>27</v>
      </c>
      <c r="D230" s="12">
        <f t="shared" si="18"/>
        <v>70</v>
      </c>
      <c r="E230" s="12">
        <v>0</v>
      </c>
      <c r="F230" s="12">
        <v>0</v>
      </c>
      <c r="G230" s="12">
        <v>70</v>
      </c>
      <c r="H230" s="12">
        <v>0</v>
      </c>
      <c r="I230" s="52"/>
      <c r="J230" s="71"/>
      <c r="K230" s="7">
        <v>100</v>
      </c>
      <c r="L230" s="52"/>
      <c r="M230" s="49"/>
      <c r="N230" s="5"/>
      <c r="O230" s="5"/>
      <c r="P230" s="5"/>
    </row>
    <row r="231" spans="1:16" ht="36.75" customHeight="1">
      <c r="A231" s="49" t="s">
        <v>236</v>
      </c>
      <c r="B231" s="53" t="s">
        <v>237</v>
      </c>
      <c r="C231" s="7" t="s">
        <v>21</v>
      </c>
      <c r="D231" s="12">
        <f t="shared" si="18"/>
        <v>125</v>
      </c>
      <c r="E231" s="12">
        <v>0</v>
      </c>
      <c r="F231" s="12">
        <v>0</v>
      </c>
      <c r="G231" s="12">
        <v>125</v>
      </c>
      <c r="H231" s="12">
        <v>0</v>
      </c>
      <c r="I231" s="52" t="s">
        <v>238</v>
      </c>
      <c r="J231" s="71" t="s">
        <v>23</v>
      </c>
      <c r="K231" s="7">
        <v>100</v>
      </c>
      <c r="L231" s="52" t="s">
        <v>24</v>
      </c>
      <c r="M231" s="49" t="s">
        <v>222</v>
      </c>
      <c r="N231" s="5"/>
      <c r="O231" s="5"/>
      <c r="P231" s="5"/>
    </row>
    <row r="232" spans="1:16" ht="36.75" customHeight="1">
      <c r="A232" s="49"/>
      <c r="B232" s="53"/>
      <c r="C232" s="7" t="s">
        <v>26</v>
      </c>
      <c r="D232" s="12">
        <f t="shared" si="18"/>
        <v>125</v>
      </c>
      <c r="E232" s="12">
        <v>0</v>
      </c>
      <c r="F232" s="12">
        <v>0</v>
      </c>
      <c r="G232" s="12">
        <v>125</v>
      </c>
      <c r="H232" s="12">
        <v>0</v>
      </c>
      <c r="I232" s="52"/>
      <c r="J232" s="71"/>
      <c r="K232" s="7">
        <v>100</v>
      </c>
      <c r="L232" s="52"/>
      <c r="M232" s="49"/>
      <c r="N232" s="5"/>
      <c r="O232" s="5"/>
      <c r="P232" s="5"/>
    </row>
    <row r="233" spans="1:16" ht="36.75" customHeight="1">
      <c r="A233" s="49"/>
      <c r="B233" s="53"/>
      <c r="C233" s="7" t="s">
        <v>27</v>
      </c>
      <c r="D233" s="12">
        <f t="shared" si="18"/>
        <v>125</v>
      </c>
      <c r="E233" s="12">
        <v>0</v>
      </c>
      <c r="F233" s="12">
        <v>0</v>
      </c>
      <c r="G233" s="12">
        <v>125</v>
      </c>
      <c r="H233" s="12">
        <v>0</v>
      </c>
      <c r="I233" s="52"/>
      <c r="J233" s="71"/>
      <c r="K233" s="7">
        <v>100</v>
      </c>
      <c r="L233" s="52"/>
      <c r="M233" s="49"/>
      <c r="N233" s="5"/>
      <c r="O233" s="5"/>
      <c r="P233" s="5"/>
    </row>
    <row r="234" spans="1:16" ht="23.25" customHeight="1">
      <c r="A234" s="68" t="s">
        <v>35</v>
      </c>
      <c r="B234" s="68"/>
      <c r="C234" s="16" t="s">
        <v>21</v>
      </c>
      <c r="D234" s="17">
        <f t="shared" si="18"/>
        <v>254.8</v>
      </c>
      <c r="E234" s="17">
        <f t="shared" ref="E234:H236" si="19">E225+E228+E231</f>
        <v>0</v>
      </c>
      <c r="F234" s="17">
        <f t="shared" si="19"/>
        <v>0</v>
      </c>
      <c r="G234" s="17">
        <f t="shared" si="19"/>
        <v>254.8</v>
      </c>
      <c r="H234" s="17">
        <f t="shared" si="19"/>
        <v>0</v>
      </c>
      <c r="I234" s="54" t="s">
        <v>36</v>
      </c>
      <c r="J234" s="54" t="s">
        <v>36</v>
      </c>
      <c r="K234" s="54" t="s">
        <v>36</v>
      </c>
      <c r="L234" s="54" t="s">
        <v>36</v>
      </c>
      <c r="M234" s="54" t="s">
        <v>36</v>
      </c>
      <c r="N234" s="5"/>
      <c r="O234" s="5"/>
      <c r="P234" s="5"/>
    </row>
    <row r="235" spans="1:16" ht="23.25" customHeight="1">
      <c r="A235" s="68"/>
      <c r="B235" s="68"/>
      <c r="C235" s="16" t="s">
        <v>26</v>
      </c>
      <c r="D235" s="17">
        <f t="shared" si="18"/>
        <v>254.8</v>
      </c>
      <c r="E235" s="17">
        <f t="shared" si="19"/>
        <v>0</v>
      </c>
      <c r="F235" s="17">
        <f t="shared" si="19"/>
        <v>0</v>
      </c>
      <c r="G235" s="17">
        <f t="shared" si="19"/>
        <v>254.8</v>
      </c>
      <c r="H235" s="17">
        <f t="shared" si="19"/>
        <v>0</v>
      </c>
      <c r="I235" s="54"/>
      <c r="J235" s="54"/>
      <c r="K235" s="54"/>
      <c r="L235" s="54"/>
      <c r="M235" s="54"/>
      <c r="N235" s="5"/>
      <c r="O235" s="5"/>
      <c r="P235" s="5"/>
    </row>
    <row r="236" spans="1:16" ht="23.25" customHeight="1">
      <c r="A236" s="68"/>
      <c r="B236" s="68"/>
      <c r="C236" s="16" t="s">
        <v>27</v>
      </c>
      <c r="D236" s="17">
        <f t="shared" si="18"/>
        <v>254.8</v>
      </c>
      <c r="E236" s="17">
        <f t="shared" si="19"/>
        <v>0</v>
      </c>
      <c r="F236" s="17">
        <f t="shared" si="19"/>
        <v>0</v>
      </c>
      <c r="G236" s="17">
        <f t="shared" si="19"/>
        <v>254.8</v>
      </c>
      <c r="H236" s="17">
        <f t="shared" si="19"/>
        <v>0</v>
      </c>
      <c r="I236" s="54"/>
      <c r="J236" s="54"/>
      <c r="K236" s="54"/>
      <c r="L236" s="54"/>
      <c r="M236" s="54"/>
      <c r="N236" s="5"/>
      <c r="O236" s="5"/>
      <c r="P236" s="5"/>
    </row>
    <row r="237" spans="1:16" ht="25.5" customHeight="1">
      <c r="A237" s="78" t="s">
        <v>239</v>
      </c>
      <c r="B237" s="78"/>
      <c r="C237" s="16" t="s">
        <v>21</v>
      </c>
      <c r="D237" s="17">
        <f t="shared" si="18"/>
        <v>2581647.1</v>
      </c>
      <c r="E237" s="17">
        <f t="shared" ref="E237:H239" si="20">E45+E153+E183+E192+E201+E219+E234</f>
        <v>49142.5</v>
      </c>
      <c r="F237" s="17">
        <f t="shared" si="20"/>
        <v>1775741.1</v>
      </c>
      <c r="G237" s="17">
        <f t="shared" si="20"/>
        <v>676763.50000000012</v>
      </c>
      <c r="H237" s="17">
        <f t="shared" si="20"/>
        <v>80000</v>
      </c>
      <c r="I237" s="54" t="s">
        <v>36</v>
      </c>
      <c r="J237" s="54" t="s">
        <v>36</v>
      </c>
      <c r="K237" s="54" t="s">
        <v>36</v>
      </c>
      <c r="L237" s="54" t="s">
        <v>36</v>
      </c>
      <c r="M237" s="54" t="s">
        <v>36</v>
      </c>
      <c r="N237" s="5"/>
      <c r="O237" s="5"/>
      <c r="P237" s="5"/>
    </row>
    <row r="238" spans="1:16" ht="25.5" customHeight="1">
      <c r="A238" s="78"/>
      <c r="B238" s="78"/>
      <c r="C238" s="16" t="s">
        <v>26</v>
      </c>
      <c r="D238" s="17">
        <f t="shared" si="18"/>
        <v>2569901.5000000005</v>
      </c>
      <c r="E238" s="17">
        <f t="shared" si="20"/>
        <v>47411.6</v>
      </c>
      <c r="F238" s="17">
        <f t="shared" si="20"/>
        <v>1855872.0000000002</v>
      </c>
      <c r="G238" s="17">
        <f t="shared" si="20"/>
        <v>586617.9</v>
      </c>
      <c r="H238" s="17">
        <f t="shared" si="20"/>
        <v>80000</v>
      </c>
      <c r="I238" s="54"/>
      <c r="J238" s="54"/>
      <c r="K238" s="54"/>
      <c r="L238" s="54"/>
      <c r="M238" s="54"/>
      <c r="N238" s="5"/>
      <c r="O238" s="5"/>
      <c r="P238" s="5"/>
    </row>
    <row r="239" spans="1:16" ht="25.5" customHeight="1">
      <c r="A239" s="78"/>
      <c r="B239" s="78"/>
      <c r="C239" s="16" t="s">
        <v>27</v>
      </c>
      <c r="D239" s="17">
        <f t="shared" si="18"/>
        <v>2644664.7000000002</v>
      </c>
      <c r="E239" s="17">
        <f t="shared" si="20"/>
        <v>47334.400000000001</v>
      </c>
      <c r="F239" s="17">
        <f t="shared" si="20"/>
        <v>1931631.6</v>
      </c>
      <c r="G239" s="17">
        <f t="shared" si="20"/>
        <v>585698.70000000007</v>
      </c>
      <c r="H239" s="17">
        <f t="shared" si="20"/>
        <v>80000</v>
      </c>
      <c r="I239" s="54"/>
      <c r="J239" s="54"/>
      <c r="K239" s="54"/>
      <c r="L239" s="54"/>
      <c r="M239" s="54"/>
      <c r="N239" s="5"/>
      <c r="O239" s="5"/>
      <c r="P239" s="5"/>
    </row>
    <row r="240" spans="1:16" ht="25.5" customHeight="1">
      <c r="A240" s="28"/>
      <c r="B240" s="28"/>
      <c r="C240" s="29"/>
      <c r="D240" s="30"/>
      <c r="E240" s="30"/>
      <c r="F240" s="30"/>
      <c r="G240" s="30"/>
      <c r="H240" s="30"/>
      <c r="I240" s="31"/>
      <c r="J240" s="31"/>
      <c r="K240" s="31"/>
      <c r="L240" s="31"/>
      <c r="M240" s="31"/>
      <c r="N240" s="5"/>
      <c r="O240" s="5"/>
      <c r="P240" s="5"/>
    </row>
    <row r="241" spans="1:16" ht="15.75">
      <c r="A241" s="32"/>
      <c r="B241" s="32"/>
      <c r="C241" s="33"/>
      <c r="D241" s="34"/>
      <c r="E241" s="35"/>
      <c r="F241" s="35"/>
      <c r="G241" s="36"/>
      <c r="H241" s="35"/>
      <c r="N241" s="38"/>
      <c r="O241" s="38"/>
      <c r="P241" s="38"/>
    </row>
    <row r="242" spans="1:16" ht="36" customHeight="1">
      <c r="A242" s="74" t="s">
        <v>62</v>
      </c>
      <c r="B242" s="74"/>
      <c r="C242" s="74"/>
      <c r="E242" s="35"/>
      <c r="F242" s="35"/>
      <c r="G242" s="36"/>
      <c r="H242" s="39"/>
      <c r="K242" s="75" t="s">
        <v>63</v>
      </c>
      <c r="L242" s="75"/>
      <c r="N242" s="38"/>
      <c r="O242" s="38"/>
      <c r="P242" s="38"/>
    </row>
    <row r="243" spans="1:16" ht="15.75">
      <c r="A243" s="40"/>
      <c r="B243" s="40"/>
      <c r="C243" s="40"/>
      <c r="D243" s="40"/>
      <c r="E243" s="76"/>
      <c r="F243" s="76"/>
      <c r="G243" s="40"/>
      <c r="H243" s="40"/>
      <c r="I243" s="40"/>
      <c r="J243" s="41"/>
      <c r="K243" s="40"/>
      <c r="L243" s="40"/>
      <c r="M243" s="40"/>
      <c r="N243" s="38"/>
      <c r="O243" s="38"/>
      <c r="P243" s="38"/>
    </row>
    <row r="244" spans="1:16" ht="15.75">
      <c r="A244" s="77"/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38"/>
      <c r="O244" s="38"/>
      <c r="P244" s="38"/>
    </row>
  </sheetData>
  <mergeCells count="461">
    <mergeCell ref="A242:C242"/>
    <mergeCell ref="K242:L242"/>
    <mergeCell ref="E243:F243"/>
    <mergeCell ref="A244:M244"/>
    <mergeCell ref="A234:B236"/>
    <mergeCell ref="I234:I236"/>
    <mergeCell ref="J234:J236"/>
    <mergeCell ref="K234:K236"/>
    <mergeCell ref="L234:L236"/>
    <mergeCell ref="M234:M236"/>
    <mergeCell ref="A237:B239"/>
    <mergeCell ref="I237:I239"/>
    <mergeCell ref="J237:J239"/>
    <mergeCell ref="K237:K239"/>
    <mergeCell ref="L237:L239"/>
    <mergeCell ref="M237:M239"/>
    <mergeCell ref="A228:A230"/>
    <mergeCell ref="B228:B230"/>
    <mergeCell ref="I228:I230"/>
    <mergeCell ref="J228:J230"/>
    <mergeCell ref="L228:L230"/>
    <mergeCell ref="M228:M230"/>
    <mergeCell ref="A231:A233"/>
    <mergeCell ref="B231:B233"/>
    <mergeCell ref="I231:I233"/>
    <mergeCell ref="J231:J233"/>
    <mergeCell ref="L231:L233"/>
    <mergeCell ref="M231:M233"/>
    <mergeCell ref="A222:M222"/>
    <mergeCell ref="A223:A224"/>
    <mergeCell ref="B223:M223"/>
    <mergeCell ref="B224:M224"/>
    <mergeCell ref="A225:A227"/>
    <mergeCell ref="B225:B227"/>
    <mergeCell ref="I225:I227"/>
    <mergeCell ref="J225:J227"/>
    <mergeCell ref="L225:L227"/>
    <mergeCell ref="M225:M227"/>
    <mergeCell ref="A216:A218"/>
    <mergeCell ref="B216:B218"/>
    <mergeCell ref="I216:I218"/>
    <mergeCell ref="J216:J218"/>
    <mergeCell ref="L216:L218"/>
    <mergeCell ref="M216:M218"/>
    <mergeCell ref="A219:B221"/>
    <mergeCell ref="I219:I221"/>
    <mergeCell ref="J219:J221"/>
    <mergeCell ref="K219:K221"/>
    <mergeCell ref="L219:L221"/>
    <mergeCell ref="M219:M221"/>
    <mergeCell ref="A210:A212"/>
    <mergeCell ref="B210:B212"/>
    <mergeCell ref="I210:I212"/>
    <mergeCell ref="J210:J212"/>
    <mergeCell ref="L210:L212"/>
    <mergeCell ref="M210:M212"/>
    <mergeCell ref="A213:A215"/>
    <mergeCell ref="B213:B215"/>
    <mergeCell ref="L213:L215"/>
    <mergeCell ref="M213:M215"/>
    <mergeCell ref="A204:M204"/>
    <mergeCell ref="A205:A206"/>
    <mergeCell ref="B205:M205"/>
    <mergeCell ref="B206:M206"/>
    <mergeCell ref="A207:A209"/>
    <mergeCell ref="B207:B209"/>
    <mergeCell ref="I207:I209"/>
    <mergeCell ref="J207:J209"/>
    <mergeCell ref="L207:L209"/>
    <mergeCell ref="M207:M209"/>
    <mergeCell ref="A198:A200"/>
    <mergeCell ref="B198:B200"/>
    <mergeCell ref="I198:I200"/>
    <mergeCell ref="J198:J200"/>
    <mergeCell ref="L198:L200"/>
    <mergeCell ref="M198:M200"/>
    <mergeCell ref="A201:B203"/>
    <mergeCell ref="I201:I203"/>
    <mergeCell ref="J201:J203"/>
    <mergeCell ref="K201:K203"/>
    <mergeCell ref="L201:L203"/>
    <mergeCell ref="M201:M203"/>
    <mergeCell ref="A192:B194"/>
    <mergeCell ref="I192:I194"/>
    <mergeCell ref="J192:J194"/>
    <mergeCell ref="K192:K194"/>
    <mergeCell ref="L192:L194"/>
    <mergeCell ref="M192:M194"/>
    <mergeCell ref="A195:M195"/>
    <mergeCell ref="A196:A197"/>
    <mergeCell ref="B196:M196"/>
    <mergeCell ref="B197:M197"/>
    <mergeCell ref="A186:M186"/>
    <mergeCell ref="A187:A188"/>
    <mergeCell ref="B187:M187"/>
    <mergeCell ref="B188:M188"/>
    <mergeCell ref="A189:A191"/>
    <mergeCell ref="B189:B191"/>
    <mergeCell ref="I189:I191"/>
    <mergeCell ref="J189:J191"/>
    <mergeCell ref="L189:L191"/>
    <mergeCell ref="M189:M191"/>
    <mergeCell ref="A180:A182"/>
    <mergeCell ref="B180:B182"/>
    <mergeCell ref="I180:I182"/>
    <mergeCell ref="J180:J182"/>
    <mergeCell ref="L180:L182"/>
    <mergeCell ref="M180:M182"/>
    <mergeCell ref="A183:B185"/>
    <mergeCell ref="I183:I185"/>
    <mergeCell ref="J183:J185"/>
    <mergeCell ref="K183:K185"/>
    <mergeCell ref="L183:L185"/>
    <mergeCell ref="M183:M185"/>
    <mergeCell ref="A174:A176"/>
    <mergeCell ref="B174:B176"/>
    <mergeCell ref="I174:I176"/>
    <mergeCell ref="J174:J176"/>
    <mergeCell ref="L174:L176"/>
    <mergeCell ref="M174:M176"/>
    <mergeCell ref="A177:A179"/>
    <mergeCell ref="B177:B179"/>
    <mergeCell ref="I177:I179"/>
    <mergeCell ref="J177:J179"/>
    <mergeCell ref="L177:L179"/>
    <mergeCell ref="M177:M179"/>
    <mergeCell ref="A168:A170"/>
    <mergeCell ref="B168:B170"/>
    <mergeCell ref="I168:I170"/>
    <mergeCell ref="J168:J170"/>
    <mergeCell ref="L168:L170"/>
    <mergeCell ref="M168:M170"/>
    <mergeCell ref="A171:A173"/>
    <mergeCell ref="B171:B173"/>
    <mergeCell ref="I171:I173"/>
    <mergeCell ref="J171:J173"/>
    <mergeCell ref="L171:L173"/>
    <mergeCell ref="M171:M173"/>
    <mergeCell ref="A162:A164"/>
    <mergeCell ref="B162:B164"/>
    <mergeCell ref="I162:I164"/>
    <mergeCell ref="J162:J164"/>
    <mergeCell ref="L162:L164"/>
    <mergeCell ref="M162:M164"/>
    <mergeCell ref="A165:A167"/>
    <mergeCell ref="B165:B167"/>
    <mergeCell ref="I165:I167"/>
    <mergeCell ref="J165:J167"/>
    <mergeCell ref="L165:L167"/>
    <mergeCell ref="M165:M167"/>
    <mergeCell ref="A156:M156"/>
    <mergeCell ref="A157:A158"/>
    <mergeCell ref="B157:M157"/>
    <mergeCell ref="B158:M158"/>
    <mergeCell ref="A159:A161"/>
    <mergeCell ref="B159:B161"/>
    <mergeCell ref="I159:I161"/>
    <mergeCell ref="J159:J161"/>
    <mergeCell ref="L159:L161"/>
    <mergeCell ref="M159:M161"/>
    <mergeCell ref="A150:A152"/>
    <mergeCell ref="B150:B152"/>
    <mergeCell ref="I150:I152"/>
    <mergeCell ref="J150:J152"/>
    <mergeCell ref="L150:L152"/>
    <mergeCell ref="M150:M152"/>
    <mergeCell ref="A153:B155"/>
    <mergeCell ref="I153:I155"/>
    <mergeCell ref="J153:J155"/>
    <mergeCell ref="K153:K155"/>
    <mergeCell ref="L153:L155"/>
    <mergeCell ref="M153:M155"/>
    <mergeCell ref="A144:A146"/>
    <mergeCell ref="B144:B146"/>
    <mergeCell ref="I144:I146"/>
    <mergeCell ref="J144:J146"/>
    <mergeCell ref="L144:L146"/>
    <mergeCell ref="M144:M146"/>
    <mergeCell ref="A147:A149"/>
    <mergeCell ref="B147:B149"/>
    <mergeCell ref="I147:I149"/>
    <mergeCell ref="J147:J149"/>
    <mergeCell ref="L147:L149"/>
    <mergeCell ref="M147:M149"/>
    <mergeCell ref="A138:A140"/>
    <mergeCell ref="B138:B140"/>
    <mergeCell ref="I138:I140"/>
    <mergeCell ref="L138:L140"/>
    <mergeCell ref="M138:M140"/>
    <mergeCell ref="A141:A143"/>
    <mergeCell ref="B141:B143"/>
    <mergeCell ref="I141:I143"/>
    <mergeCell ref="J141:J143"/>
    <mergeCell ref="L141:L143"/>
    <mergeCell ref="M141:M143"/>
    <mergeCell ref="A132:A134"/>
    <mergeCell ref="B132:B134"/>
    <mergeCell ref="I132:I134"/>
    <mergeCell ref="J132:J134"/>
    <mergeCell ref="L132:L134"/>
    <mergeCell ref="M132:M134"/>
    <mergeCell ref="A135:A137"/>
    <mergeCell ref="B135:B137"/>
    <mergeCell ref="I135:I137"/>
    <mergeCell ref="J135:J137"/>
    <mergeCell ref="L135:L137"/>
    <mergeCell ref="M135:M137"/>
    <mergeCell ref="A126:A128"/>
    <mergeCell ref="B126:B128"/>
    <mergeCell ref="I126:I128"/>
    <mergeCell ref="J126:J128"/>
    <mergeCell ref="L126:L128"/>
    <mergeCell ref="M126:M128"/>
    <mergeCell ref="A129:A131"/>
    <mergeCell ref="B129:B131"/>
    <mergeCell ref="I129:I131"/>
    <mergeCell ref="J129:J131"/>
    <mergeCell ref="L129:L131"/>
    <mergeCell ref="M129:M131"/>
    <mergeCell ref="A120:A125"/>
    <mergeCell ref="B120:B125"/>
    <mergeCell ref="C120:C121"/>
    <mergeCell ref="D120:D121"/>
    <mergeCell ref="E120:E121"/>
    <mergeCell ref="F120:F121"/>
    <mergeCell ref="G120:G121"/>
    <mergeCell ref="H120:H121"/>
    <mergeCell ref="L120:L125"/>
    <mergeCell ref="C122:C123"/>
    <mergeCell ref="D122:D123"/>
    <mergeCell ref="E122:E123"/>
    <mergeCell ref="F122:F123"/>
    <mergeCell ref="G122:G123"/>
    <mergeCell ref="H122:H123"/>
    <mergeCell ref="C124:C125"/>
    <mergeCell ref="D124:D125"/>
    <mergeCell ref="E124:E125"/>
    <mergeCell ref="F124:F125"/>
    <mergeCell ref="G124:G125"/>
    <mergeCell ref="H124:H125"/>
    <mergeCell ref="A114:A116"/>
    <mergeCell ref="B114:B116"/>
    <mergeCell ref="I114:I116"/>
    <mergeCell ref="J114:J116"/>
    <mergeCell ref="L114:L116"/>
    <mergeCell ref="M114:M116"/>
    <mergeCell ref="A117:A119"/>
    <mergeCell ref="B117:B119"/>
    <mergeCell ref="I117:I119"/>
    <mergeCell ref="J117:J119"/>
    <mergeCell ref="L117:L119"/>
    <mergeCell ref="M117:M119"/>
    <mergeCell ref="A108:A110"/>
    <mergeCell ref="B108:B110"/>
    <mergeCell ref="I108:I110"/>
    <mergeCell ref="J108:J110"/>
    <mergeCell ref="L108:L110"/>
    <mergeCell ref="M108:M110"/>
    <mergeCell ref="A111:A113"/>
    <mergeCell ref="B111:B113"/>
    <mergeCell ref="I111:I113"/>
    <mergeCell ref="J111:J113"/>
    <mergeCell ref="L111:L113"/>
    <mergeCell ref="M111:M113"/>
    <mergeCell ref="A102:A104"/>
    <mergeCell ref="B102:B104"/>
    <mergeCell ref="I102:I104"/>
    <mergeCell ref="J102:J104"/>
    <mergeCell ref="L102:L104"/>
    <mergeCell ref="M102:M104"/>
    <mergeCell ref="A105:A107"/>
    <mergeCell ref="B105:B107"/>
    <mergeCell ref="I105:I107"/>
    <mergeCell ref="J105:J107"/>
    <mergeCell ref="L105:L107"/>
    <mergeCell ref="M105:M107"/>
    <mergeCell ref="A96:A98"/>
    <mergeCell ref="B96:B98"/>
    <mergeCell ref="I96:I98"/>
    <mergeCell ref="J96:J98"/>
    <mergeCell ref="L96:L98"/>
    <mergeCell ref="M96:M98"/>
    <mergeCell ref="A99:A101"/>
    <mergeCell ref="B99:B101"/>
    <mergeCell ref="I99:I101"/>
    <mergeCell ref="J99:J101"/>
    <mergeCell ref="L99:L101"/>
    <mergeCell ref="M99:M101"/>
    <mergeCell ref="A90:A92"/>
    <mergeCell ref="B90:B92"/>
    <mergeCell ref="I90:I92"/>
    <mergeCell ref="J90:J92"/>
    <mergeCell ref="L90:L92"/>
    <mergeCell ref="M90:M92"/>
    <mergeCell ref="A93:A95"/>
    <mergeCell ref="B93:B95"/>
    <mergeCell ref="I93:I95"/>
    <mergeCell ref="J93:J95"/>
    <mergeCell ref="L93:L95"/>
    <mergeCell ref="M93:M95"/>
    <mergeCell ref="A84:A86"/>
    <mergeCell ref="B84:B86"/>
    <mergeCell ref="I84:I86"/>
    <mergeCell ref="J84:J86"/>
    <mergeCell ref="L84:L86"/>
    <mergeCell ref="M84:M86"/>
    <mergeCell ref="A87:A89"/>
    <mergeCell ref="B87:B89"/>
    <mergeCell ref="I87:I89"/>
    <mergeCell ref="J87:J89"/>
    <mergeCell ref="L87:L89"/>
    <mergeCell ref="M87:M89"/>
    <mergeCell ref="M75:M77"/>
    <mergeCell ref="A78:A80"/>
    <mergeCell ref="B78:B80"/>
    <mergeCell ref="I78:I80"/>
    <mergeCell ref="J78:J80"/>
    <mergeCell ref="L78:L80"/>
    <mergeCell ref="M78:M80"/>
    <mergeCell ref="A81:A83"/>
    <mergeCell ref="B81:B83"/>
    <mergeCell ref="I81:I83"/>
    <mergeCell ref="J81:J83"/>
    <mergeCell ref="L81:L83"/>
    <mergeCell ref="M81:M83"/>
    <mergeCell ref="E69:E74"/>
    <mergeCell ref="F69:F74"/>
    <mergeCell ref="G69:G74"/>
    <mergeCell ref="H69:H74"/>
    <mergeCell ref="A75:A77"/>
    <mergeCell ref="B75:B77"/>
    <mergeCell ref="I75:I77"/>
    <mergeCell ref="J75:J77"/>
    <mergeCell ref="L75:L77"/>
    <mergeCell ref="A54:A56"/>
    <mergeCell ref="B54:B56"/>
    <mergeCell ref="I54:I56"/>
    <mergeCell ref="J54:J56"/>
    <mergeCell ref="L54:L56"/>
    <mergeCell ref="M54:M56"/>
    <mergeCell ref="A57:A74"/>
    <mergeCell ref="B57:B74"/>
    <mergeCell ref="C57:C62"/>
    <mergeCell ref="D57:D62"/>
    <mergeCell ref="E57:E62"/>
    <mergeCell ref="F57:F62"/>
    <mergeCell ref="G57:G62"/>
    <mergeCell ref="H57:H62"/>
    <mergeCell ref="L57:L74"/>
    <mergeCell ref="M57:M74"/>
    <mergeCell ref="C63:C68"/>
    <mergeCell ref="D63:D68"/>
    <mergeCell ref="E63:E68"/>
    <mergeCell ref="F63:F68"/>
    <mergeCell ref="G63:G68"/>
    <mergeCell ref="H63:H68"/>
    <mergeCell ref="C69:C74"/>
    <mergeCell ref="D69:D74"/>
    <mergeCell ref="A48:M48"/>
    <mergeCell ref="A49:A50"/>
    <mergeCell ref="B49:M49"/>
    <mergeCell ref="B50:M50"/>
    <mergeCell ref="A51:A53"/>
    <mergeCell ref="B51:B53"/>
    <mergeCell ref="I51:I53"/>
    <mergeCell ref="J51:J53"/>
    <mergeCell ref="L51:L53"/>
    <mergeCell ref="M51:M53"/>
    <mergeCell ref="A42:A44"/>
    <mergeCell ref="B42:B44"/>
    <mergeCell ref="I42:I44"/>
    <mergeCell ref="J42:J44"/>
    <mergeCell ref="L42:L44"/>
    <mergeCell ref="M42:M44"/>
    <mergeCell ref="A45:B47"/>
    <mergeCell ref="I45:I47"/>
    <mergeCell ref="J45:J47"/>
    <mergeCell ref="K45:K47"/>
    <mergeCell ref="L45:L47"/>
    <mergeCell ref="M45:M47"/>
    <mergeCell ref="A36:A38"/>
    <mergeCell ref="B36:B38"/>
    <mergeCell ref="I36:I38"/>
    <mergeCell ref="J36:J38"/>
    <mergeCell ref="L36:L38"/>
    <mergeCell ref="M36:M38"/>
    <mergeCell ref="A39:A41"/>
    <mergeCell ref="B39:B41"/>
    <mergeCell ref="I39:I41"/>
    <mergeCell ref="J39:J41"/>
    <mergeCell ref="L39:L41"/>
    <mergeCell ref="M39:M41"/>
    <mergeCell ref="M27:M29"/>
    <mergeCell ref="A30:A32"/>
    <mergeCell ref="B30:B32"/>
    <mergeCell ref="I30:I32"/>
    <mergeCell ref="J30:J32"/>
    <mergeCell ref="L30:L32"/>
    <mergeCell ref="M30:M32"/>
    <mergeCell ref="A33:A35"/>
    <mergeCell ref="B33:B35"/>
    <mergeCell ref="I33:I35"/>
    <mergeCell ref="J33:J35"/>
    <mergeCell ref="L33:L35"/>
    <mergeCell ref="M33:M35"/>
    <mergeCell ref="E24:E26"/>
    <mergeCell ref="F24:F26"/>
    <mergeCell ref="G24:G26"/>
    <mergeCell ref="H24:H26"/>
    <mergeCell ref="A27:A29"/>
    <mergeCell ref="B27:B29"/>
    <mergeCell ref="I27:I29"/>
    <mergeCell ref="J27:J29"/>
    <mergeCell ref="L27:L29"/>
    <mergeCell ref="A15:A17"/>
    <mergeCell ref="B15:B17"/>
    <mergeCell ref="I15:I17"/>
    <mergeCell ref="J15:J17"/>
    <mergeCell ref="L15:L17"/>
    <mergeCell ref="M15:M17"/>
    <mergeCell ref="A18:A26"/>
    <mergeCell ref="B18:B26"/>
    <mergeCell ref="C18:C20"/>
    <mergeCell ref="D18:D20"/>
    <mergeCell ref="E18:E20"/>
    <mergeCell ref="F18:F20"/>
    <mergeCell ref="G18:G20"/>
    <mergeCell ref="H18:H20"/>
    <mergeCell ref="L18:L26"/>
    <mergeCell ref="M18:M26"/>
    <mergeCell ref="C21:C23"/>
    <mergeCell ref="D21:D23"/>
    <mergeCell ref="E21:E23"/>
    <mergeCell ref="F21:F23"/>
    <mergeCell ref="G21:G23"/>
    <mergeCell ref="H21:H23"/>
    <mergeCell ref="C24:C26"/>
    <mergeCell ref="D24:D26"/>
    <mergeCell ref="A9:M9"/>
    <mergeCell ref="A10:A11"/>
    <mergeCell ref="B10:M10"/>
    <mergeCell ref="B11:M11"/>
    <mergeCell ref="A12:A14"/>
    <mergeCell ref="B12:B14"/>
    <mergeCell ref="I12:I14"/>
    <mergeCell ref="J12:J14"/>
    <mergeCell ref="L12:L14"/>
    <mergeCell ref="M12:M14"/>
    <mergeCell ref="J1:M1"/>
    <mergeCell ref="A3:M3"/>
    <mergeCell ref="A5:A7"/>
    <mergeCell ref="B5:B7"/>
    <mergeCell ref="C5:C7"/>
    <mergeCell ref="D5:H5"/>
    <mergeCell ref="I5:I7"/>
    <mergeCell ref="J5:J7"/>
    <mergeCell ref="K5:K7"/>
    <mergeCell ref="L5:L7"/>
    <mergeCell ref="M5:M7"/>
    <mergeCell ref="D6:D7"/>
    <mergeCell ref="E6:H6"/>
  </mergeCells>
  <printOptions horizontalCentered="1"/>
  <pageMargins left="0.78740157480314965" right="0.39370078740157483" top="1.1811023622047245" bottom="0.78740157480314965" header="0.98425196850393704" footer="0.23622047244094491"/>
  <pageSetup paperSize="9" scale="60" orientation="landscape" horizontalDpi="300" verticalDpi="300" r:id="rId1"/>
  <headerFooter differentFirst="1">
    <oddHeader>&amp;C&amp;P</oddHeader>
  </headerFooter>
  <rowBreaks count="11" manualBreakCount="11">
    <brk id="23" max="16383" man="1"/>
    <brk id="41" max="16383" man="1"/>
    <brk id="61" max="12" man="1"/>
    <brk id="89" max="12" man="1"/>
    <brk id="107" max="12" man="1"/>
    <brk id="134" max="16383" man="1"/>
    <brk id="151" max="12" man="1"/>
    <brk id="170" max="12" man="1"/>
    <brk id="190" max="12" man="1"/>
    <brk id="214" max="12" man="1"/>
    <brk id="22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2022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Проектная часть</vt:lpstr>
      <vt:lpstr>Процессная часть</vt:lpstr>
      <vt:lpstr>'Процессная часть'!Заголовки_для_печати</vt:lpstr>
      <vt:lpstr>'Процессная часть'!Область_печати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Matyashova</dc:creator>
  <cp:lastModifiedBy>User-22-12</cp:lastModifiedBy>
  <cp:revision>310</cp:revision>
  <cp:lastPrinted>2025-11-06T13:27:17Z</cp:lastPrinted>
  <dcterms:created xsi:type="dcterms:W3CDTF">2024-09-19T13:44:15Z</dcterms:created>
  <dcterms:modified xsi:type="dcterms:W3CDTF">2025-11-14T05:59:28Z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caleCrop">
    <vt:bool>false</vt:bool>
  </property>
</Properties>
</file>